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MIs\LMI Monthly Update\2018\Jun 18\"/>
    </mc:Choice>
  </mc:AlternateContent>
  <bookViews>
    <workbookView xWindow="0" yWindow="0" windowWidth="28800" windowHeight="12300"/>
  </bookViews>
  <sheets>
    <sheet name="Spotlight ETP List" sheetId="1" r:id="rId1"/>
    <sheet name="Spotlight MFSA List" sheetId="2" r:id="rId2"/>
    <sheet name="Spotlight mFund List" sheetId="3" r:id="rId3"/>
    <sheet name="Spotlight LIC List" sheetId="4" r:id="rId4"/>
    <sheet name="Spotlight A-REITS  List" sheetId="5" r:id="rId5"/>
    <sheet name="Spotlight Infra  List" sheetId="6" r:id="rId6"/>
  </sheets>
  <externalReferences>
    <externalReference r:id="rId7"/>
  </externalReferences>
  <definedNames>
    <definedName name="_xlnm._FilterDatabase" localSheetId="0" hidden="1">'Spotlight ETP List'!$A$10:$AE$209</definedName>
    <definedName name="ARF">OFFSET('[1]new database'!$A$5,0,0,COUNTA('[1]new database'!$A$5:$A3000),6)</definedName>
    <definedName name="ARF_label_range" localSheetId="4">OFFSET([0]!ARF_val_start,-48,-1,49,1)</definedName>
    <definedName name="ARF_label_range" localSheetId="5">OFFSET([0]!ARF_val_start,-48,-1,49,1)</definedName>
    <definedName name="ARF_label_range">OFFSET(ARF_val_start,-48,-1,49,1)</definedName>
    <definedName name="ARF_val_range" localSheetId="4">OFFSET([0]!ARF_val_start,-48,0,49,1)</definedName>
    <definedName name="ARF_val_range" localSheetId="5">OFFSET([0]!ARF_val_start,-48,0,49,1)</definedName>
    <definedName name="ARF_val_range">OFFSET(ARF_val_start,-48,0,49,1)</definedName>
    <definedName name="ARF_val_start">OFFSET([1]Absolute!$E$82,COUNT([1]Absolute!$E:$E),0,1,1)</definedName>
    <definedName name="_xlnm.Database">OFFSET('[1]new database'!$BT$3,0,0,COUNTA('[1]new database'!$BT$3:$BT$3642),8)</definedName>
    <definedName name="ETC_SP">OFFSET('[1]new database'!$BE$5,0,0,COUNTA('[1]new database'!$BE$5:$BE$3499),6)</definedName>
    <definedName name="ETF">OFFSET('[1]new database'!$H$5,0,0,COUNTA('[1]new database'!$H$5:$H$3499),6)</definedName>
    <definedName name="ETF_label_range" localSheetId="4">OFFSET([0]!ETF_val_start,-72,-1,73,1)</definedName>
    <definedName name="ETF_label_range" localSheetId="5">OFFSET([0]!ETF_val_start,-72,-1,73,1)</definedName>
    <definedName name="ETF_label_range">OFFSET(ETF_val_start,-72,-1,73,1)</definedName>
    <definedName name="ETF_val_range" localSheetId="4">OFFSET([0]!ETF_val_start,-72,2,73,1)</definedName>
    <definedName name="ETF_val_range" localSheetId="5">OFFSET([0]!ETF_val_start,-72,2,73,1)</definedName>
    <definedName name="ETF_val_range">OFFSET(ETF_val_start,-72,2,73,1)</definedName>
    <definedName name="ETF_val_start">OFFSET([1]ETFs!$C$68,COUNT([1]ETFs!$C:$C),0,1,1)</definedName>
    <definedName name="ICT">OFFSET('[1]new database'!$V$5,0,0,COUNTA('[1]new database'!$V$5:$V$3499),6)</definedName>
    <definedName name="IF">OFFSET('[1]new database'!$O$5,0,0,COUNTA('[1]new database'!$O$5:$O$3499),6)</definedName>
    <definedName name="IF_label_range" localSheetId="4">OFFSET([0]!IF_val_start,-120,-1,121,1)</definedName>
    <definedName name="IF_label_range" localSheetId="5">OFFSET([0]!IF_val_start,-120,-1,121,1)</definedName>
    <definedName name="IF_label_range">OFFSET(IF_val_start,-120,-1,121,1)</definedName>
    <definedName name="IF_val_range" localSheetId="4">OFFSET([0]!IF_val_start,-120,2,121,1)</definedName>
    <definedName name="IF_val_range" localSheetId="5">OFFSET([0]!IF_val_start,-120,2,121,1)</definedName>
    <definedName name="IF_val_range">OFFSET(IF_val_start,-120,2,121,1)</definedName>
    <definedName name="IF_val_start">OFFSET([1]Infra!$C$13,COUNT([1]Infra!$C:$C),0,1,1)</definedName>
    <definedName name="LIC_label_range" localSheetId="4">OFFSET([0]!LIC_val_start,-120,-1,121,1)</definedName>
    <definedName name="LIC_label_range" localSheetId="5">OFFSET([0]!LIC_val_start,-120,-1,121,1)</definedName>
    <definedName name="LIC_label_range">OFFSET(LIC_val_start,-120,-1,121,1)</definedName>
    <definedName name="LIC_val_range" localSheetId="4">OFFSET([0]!LIC_val_start,-120,0,121,1)</definedName>
    <definedName name="LIC_val_range" localSheetId="5">OFFSET([0]!LIC_val_start,-120,0,121,1)</definedName>
    <definedName name="LIC_val_range">OFFSET(LIC_val_start,-120,0,121,1)</definedName>
    <definedName name="LIC_val_start">OFFSET([1]LIC!$E$2,COUNT([1]LIC!$E:$E),0,1,1)</definedName>
    <definedName name="LPT">OFFSET('[1]new database'!$AJ$5,0,0,COUNTA('[1]new database'!$AJ$5:$AJ$3499),6)</definedName>
    <definedName name="LPT_label_range" localSheetId="4">OFFSET([0]!LPT_val_start,-120,-1,121,1)</definedName>
    <definedName name="LPT_label_range" localSheetId="5">OFFSET([0]!LPT_val_start,-120,-1,121,1)</definedName>
    <definedName name="LPT_label_range">OFFSET(LPT_val_start,-120,-1,121,1)</definedName>
    <definedName name="LPT_val_range" localSheetId="4">OFFSET([0]!LPT_val_start,-120,2,121,1)</definedName>
    <definedName name="LPT_val_range" localSheetId="5">OFFSET([0]!LPT_val_start,-120,2,121,1)</definedName>
    <definedName name="LPT_val_range">OFFSET(LPT_val_start,-120,2,121,1)</definedName>
    <definedName name="LPT_val_start">OFFSET([1]AREITS!$C$2,COUNT([1]AREITS!$C:$C),0,1,1)</definedName>
    <definedName name="mcap_label_range" localSheetId="4">OFFSET([0]!mcap_val_start,-120,-1,121,1)</definedName>
    <definedName name="mcap_label_range" localSheetId="5">OFFSET([0]!mcap_val_start,-120,-1,121,1)</definedName>
    <definedName name="mcap_label_range">OFFSET(mcap_val_start,-120,-1,121,1)</definedName>
    <definedName name="mcap_val_range" localSheetId="4">OFFSET([0]!mcap_val_start,-120,0,121,1)</definedName>
    <definedName name="mcap_val_range" localSheetId="5">OFFSET([0]!mcap_val_start,-120,0,121,1)</definedName>
    <definedName name="mcap_val_range">OFFSET(mcap_val_start,-120,0,121,1)</definedName>
    <definedName name="mcap_val_start">OFFSET([1]MktCap!$C$1,COUNT([1]MktCap!$C:$C)+1,0,1,1)</definedName>
    <definedName name="MFSA">OFFSET('[1]new database'!$BL$5,0,0,COUNTA('[1]new database'!$BL$5:$BL$3499),6)</definedName>
    <definedName name="mFund">OFFSET('[1]new database'!$AX$5,0,0,COUNTA('[1]new database'!$AX$5:$AX$3499),6)</definedName>
    <definedName name="PDF">OFFSET('[1]new database'!$AC$5,0,0,COUNTA('[1]new database'!$AC$5:$AC$3499),6)</definedName>
    <definedName name="PDF_label_range" localSheetId="4">OFFSET([0]!PDF_val_start,-120,-1,121,1)</definedName>
    <definedName name="PDF_label_range" localSheetId="5">OFFSET([0]!PDF_val_start,-120,-1,121,1)</definedName>
    <definedName name="PDF_label_range">OFFSET(PDF_val_start,-120,-1,121,1)</definedName>
    <definedName name="PDF_val_range" localSheetId="4">OFFSET([0]!PDF_val_start,-120,2,121,1)</definedName>
    <definedName name="PDF_val_range" localSheetId="5">OFFSET([0]!PDF_val_start,-120,2,121,1)</definedName>
    <definedName name="PDF_val_range">OFFSET(PDF_val_start,-120,2,121,1)</definedName>
    <definedName name="PDF_val_start">OFFSET([1]PDF!$C$2,COUNT([1]PDF!$C:$C),0,1,1)</definedName>
    <definedName name="_xlnm.Print_Area" localSheetId="4">'Spotlight A-REITS  List'!$A$1:$V$75</definedName>
    <definedName name="_xlnm.Print_Area" localSheetId="0">'Spotlight ETP List'!$A$1:$Z$224</definedName>
    <definedName name="_xlnm.Print_Area" localSheetId="5">'Spotlight Infra  List'!$A$1:$W$50</definedName>
    <definedName name="_xlnm.Print_Area" localSheetId="3">'Spotlight LIC List'!$A$1:$Z$142</definedName>
    <definedName name="_xlnm.Print_Area" localSheetId="1">'Spotlight MFSA List'!$A$1:$Z$76</definedName>
    <definedName name="_xlnm.Print_Area" localSheetId="2">'Spotlight mFund List'!$A$1:$Y$236</definedName>
    <definedName name="_xlnm.Print_Titles" localSheetId="4">'Spotlight A-REITS  List'!$1:$11</definedName>
    <definedName name="_xlnm.Print_Titles" localSheetId="0">'Spotlight ETP List'!$1:$10</definedName>
    <definedName name="_xlnm.Print_Titles" localSheetId="5">'Spotlight Infra  List'!$1:$11</definedName>
    <definedName name="_xlnm.Print_Titles" localSheetId="3">'Spotlight LIC List'!$1:$10</definedName>
    <definedName name="_xlnm.Print_Titles" localSheetId="1">'Spotlight MFSA List'!$1:$10</definedName>
    <definedName name="_xlnm.Print_Titles" localSheetId="2">'Spotlight mFund List'!$1:$10</definedName>
    <definedName name="TOTAL">OFFSET('[1]new database'!$AQ$5,0,0,COUNTA('[1]new database'!$AQ$5:$AQ$3499),6)</definedName>
    <definedName name="trades_label_range" localSheetId="4">OFFSET([0]!trades_val_start,-120,-1,121,1)</definedName>
    <definedName name="trades_label_range" localSheetId="5">OFFSET([0]!trades_val_start,-120,-1,121,1)</definedName>
    <definedName name="trades_label_range">OFFSET(trades_val_start,-120,-1,121,1)</definedName>
    <definedName name="trades_val_range" localSheetId="4">OFFSET([0]!trades_val_start,-120,2,121,1)</definedName>
    <definedName name="trades_val_range" localSheetId="5">OFFSET([0]!trades_val_start,-120,2,121,1)</definedName>
    <definedName name="trades_val_range">OFFSET(trades_val_start,-120,2,121,1)</definedName>
    <definedName name="trades_val_start">OFFSET([1]Trades!$C$1,COUNT([1]Trades!$C:$C),0,1,1)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6" l="1"/>
  <c r="A30" i="6"/>
  <c r="W26" i="6"/>
  <c r="V26" i="6"/>
  <c r="Q26" i="6"/>
  <c r="P26" i="6"/>
  <c r="O26" i="6"/>
  <c r="U26" i="6" s="1"/>
  <c r="C26" i="6"/>
  <c r="W25" i="6"/>
  <c r="V25" i="6"/>
  <c r="Q25" i="6"/>
  <c r="P25" i="6"/>
  <c r="O25" i="6"/>
  <c r="U25" i="6" s="1"/>
  <c r="C25" i="6"/>
  <c r="W24" i="6"/>
  <c r="V24" i="6"/>
  <c r="Q24" i="6"/>
  <c r="P24" i="6"/>
  <c r="O24" i="6"/>
  <c r="U24" i="6" s="1"/>
  <c r="C24" i="6"/>
  <c r="W23" i="6"/>
  <c r="V23" i="6"/>
  <c r="Q23" i="6"/>
  <c r="P23" i="6"/>
  <c r="O23" i="6"/>
  <c r="U23" i="6" s="1"/>
  <c r="C23" i="6"/>
  <c r="W22" i="6"/>
  <c r="V22" i="6"/>
  <c r="Q22" i="6"/>
  <c r="P22" i="6"/>
  <c r="O22" i="6"/>
  <c r="U22" i="6" s="1"/>
  <c r="C22" i="6"/>
  <c r="W21" i="6"/>
  <c r="V21" i="6"/>
  <c r="Q21" i="6"/>
  <c r="P21" i="6"/>
  <c r="O21" i="6"/>
  <c r="U21" i="6" s="1"/>
  <c r="C21" i="6"/>
  <c r="W19" i="6"/>
  <c r="V19" i="6"/>
  <c r="U19" i="6"/>
  <c r="T19" i="6"/>
  <c r="S19" i="6"/>
  <c r="Q19" i="6"/>
  <c r="P19" i="6"/>
  <c r="O19" i="6"/>
  <c r="L19" i="6"/>
  <c r="K19" i="6"/>
  <c r="J19" i="6"/>
  <c r="I19" i="6"/>
  <c r="H19" i="6"/>
  <c r="G19" i="6"/>
  <c r="F19" i="6"/>
  <c r="C19" i="6"/>
  <c r="W18" i="6"/>
  <c r="V18" i="6"/>
  <c r="U18" i="6"/>
  <c r="T18" i="6"/>
  <c r="S18" i="6"/>
  <c r="Q18" i="6"/>
  <c r="P18" i="6"/>
  <c r="O18" i="6"/>
  <c r="L18" i="6"/>
  <c r="K18" i="6"/>
  <c r="J18" i="6"/>
  <c r="I18" i="6"/>
  <c r="H18" i="6"/>
  <c r="G18" i="6"/>
  <c r="F18" i="6"/>
  <c r="C18" i="6"/>
  <c r="W17" i="6"/>
  <c r="V17" i="6"/>
  <c r="U17" i="6"/>
  <c r="T17" i="6"/>
  <c r="S17" i="6"/>
  <c r="Q17" i="6"/>
  <c r="P17" i="6"/>
  <c r="O17" i="6"/>
  <c r="L17" i="6"/>
  <c r="K17" i="6"/>
  <c r="J17" i="6"/>
  <c r="I17" i="6"/>
  <c r="H17" i="6"/>
  <c r="G17" i="6"/>
  <c r="F17" i="6"/>
  <c r="C17" i="6"/>
  <c r="W16" i="6"/>
  <c r="V16" i="6"/>
  <c r="U16" i="6"/>
  <c r="T16" i="6"/>
  <c r="S16" i="6"/>
  <c r="Q16" i="6"/>
  <c r="P16" i="6"/>
  <c r="O16" i="6"/>
  <c r="L16" i="6"/>
  <c r="K16" i="6"/>
  <c r="J16" i="6"/>
  <c r="I16" i="6"/>
  <c r="H16" i="6"/>
  <c r="G16" i="6"/>
  <c r="F16" i="6"/>
  <c r="C16" i="6"/>
  <c r="W15" i="6"/>
  <c r="V15" i="6"/>
  <c r="U15" i="6"/>
  <c r="T15" i="6"/>
  <c r="S15" i="6"/>
  <c r="Q15" i="6"/>
  <c r="P15" i="6"/>
  <c r="O15" i="6"/>
  <c r="L15" i="6"/>
  <c r="K15" i="6"/>
  <c r="J15" i="6"/>
  <c r="I15" i="6"/>
  <c r="H15" i="6"/>
  <c r="G15" i="6"/>
  <c r="F15" i="6"/>
  <c r="C15" i="6"/>
  <c r="W14" i="6"/>
  <c r="V14" i="6"/>
  <c r="U14" i="6"/>
  <c r="T14" i="6"/>
  <c r="S14" i="6"/>
  <c r="Q14" i="6"/>
  <c r="P14" i="6"/>
  <c r="O14" i="6"/>
  <c r="L14" i="6"/>
  <c r="K14" i="6"/>
  <c r="J14" i="6"/>
  <c r="I14" i="6"/>
  <c r="H14" i="6"/>
  <c r="G14" i="6"/>
  <c r="F14" i="6"/>
  <c r="C14" i="6"/>
  <c r="W13" i="6"/>
  <c r="V13" i="6"/>
  <c r="U13" i="6"/>
  <c r="T13" i="6"/>
  <c r="S13" i="6"/>
  <c r="Q13" i="6"/>
  <c r="P13" i="6"/>
  <c r="O13" i="6"/>
  <c r="L13" i="6"/>
  <c r="K13" i="6"/>
  <c r="J13" i="6"/>
  <c r="I13" i="6"/>
  <c r="H13" i="6"/>
  <c r="G13" i="6"/>
  <c r="F13" i="6"/>
  <c r="C13" i="6"/>
  <c r="W9" i="6"/>
  <c r="A9" i="6"/>
  <c r="A72" i="5"/>
  <c r="P68" i="5"/>
  <c r="O68" i="5"/>
  <c r="N68" i="5"/>
  <c r="S68" i="5" s="1"/>
  <c r="L68" i="5"/>
  <c r="J68" i="5"/>
  <c r="I68" i="5"/>
  <c r="H68" i="5"/>
  <c r="K68" i="5" s="1"/>
  <c r="G68" i="5"/>
  <c r="F68" i="5"/>
  <c r="C68" i="5"/>
  <c r="S67" i="5"/>
  <c r="P67" i="5"/>
  <c r="O67" i="5"/>
  <c r="N67" i="5"/>
  <c r="V67" i="5" s="1"/>
  <c r="L67" i="5"/>
  <c r="J67" i="5"/>
  <c r="I67" i="5"/>
  <c r="H67" i="5"/>
  <c r="K67" i="5" s="1"/>
  <c r="G67" i="5"/>
  <c r="F67" i="5"/>
  <c r="C67" i="5"/>
  <c r="V66" i="5"/>
  <c r="U66" i="5"/>
  <c r="S66" i="5"/>
  <c r="P66" i="5"/>
  <c r="O66" i="5"/>
  <c r="N66" i="5"/>
  <c r="T66" i="5" s="1"/>
  <c r="L66" i="5"/>
  <c r="K66" i="5"/>
  <c r="J66" i="5"/>
  <c r="I66" i="5"/>
  <c r="H66" i="5"/>
  <c r="G66" i="5"/>
  <c r="F66" i="5"/>
  <c r="C66" i="5"/>
  <c r="V65" i="5"/>
  <c r="U65" i="5"/>
  <c r="P65" i="5"/>
  <c r="O65" i="5"/>
  <c r="N65" i="5"/>
  <c r="T65" i="5" s="1"/>
  <c r="L65" i="5"/>
  <c r="J65" i="5"/>
  <c r="I65" i="5"/>
  <c r="H65" i="5"/>
  <c r="G65" i="5"/>
  <c r="F65" i="5"/>
  <c r="K65" i="5" s="1"/>
  <c r="C65" i="5"/>
  <c r="P64" i="5"/>
  <c r="O64" i="5"/>
  <c r="N64" i="5"/>
  <c r="S64" i="5" s="1"/>
  <c r="L64" i="5"/>
  <c r="J64" i="5"/>
  <c r="I64" i="5"/>
  <c r="H64" i="5"/>
  <c r="K64" i="5" s="1"/>
  <c r="G64" i="5"/>
  <c r="F64" i="5"/>
  <c r="C64" i="5"/>
  <c r="S63" i="5"/>
  <c r="P63" i="5"/>
  <c r="O63" i="5"/>
  <c r="N63" i="5"/>
  <c r="V63" i="5" s="1"/>
  <c r="L63" i="5"/>
  <c r="J63" i="5"/>
  <c r="I63" i="5"/>
  <c r="H63" i="5"/>
  <c r="K63" i="5" s="1"/>
  <c r="G63" i="5"/>
  <c r="F63" i="5"/>
  <c r="C63" i="5"/>
  <c r="V61" i="5"/>
  <c r="U61" i="5"/>
  <c r="T61" i="5"/>
  <c r="S61" i="5"/>
  <c r="R61" i="5"/>
  <c r="P61" i="5"/>
  <c r="O61" i="5"/>
  <c r="N61" i="5"/>
  <c r="L61" i="5"/>
  <c r="J61" i="5"/>
  <c r="I61" i="5"/>
  <c r="H61" i="5"/>
  <c r="K61" i="5" s="1"/>
  <c r="G61" i="5"/>
  <c r="F61" i="5"/>
  <c r="C61" i="5"/>
  <c r="V60" i="5"/>
  <c r="U60" i="5"/>
  <c r="T60" i="5"/>
  <c r="S60" i="5"/>
  <c r="R60" i="5"/>
  <c r="P60" i="5"/>
  <c r="O60" i="5"/>
  <c r="N60" i="5"/>
  <c r="L60" i="5"/>
  <c r="J60" i="5"/>
  <c r="I60" i="5"/>
  <c r="H60" i="5"/>
  <c r="K60" i="5" s="1"/>
  <c r="G60" i="5"/>
  <c r="F60" i="5"/>
  <c r="C60" i="5"/>
  <c r="V59" i="5"/>
  <c r="U59" i="5"/>
  <c r="T59" i="5"/>
  <c r="S59" i="5"/>
  <c r="R59" i="5"/>
  <c r="P59" i="5"/>
  <c r="O59" i="5"/>
  <c r="N59" i="5"/>
  <c r="L59" i="5"/>
  <c r="J59" i="5"/>
  <c r="I59" i="5"/>
  <c r="H59" i="5"/>
  <c r="K59" i="5" s="1"/>
  <c r="G59" i="5"/>
  <c r="F59" i="5"/>
  <c r="C59" i="5"/>
  <c r="V57" i="5"/>
  <c r="U57" i="5"/>
  <c r="T57" i="5"/>
  <c r="S57" i="5"/>
  <c r="R57" i="5"/>
  <c r="P57" i="5"/>
  <c r="O57" i="5"/>
  <c r="N57" i="5"/>
  <c r="L57" i="5"/>
  <c r="J57" i="5"/>
  <c r="I57" i="5"/>
  <c r="H57" i="5"/>
  <c r="K57" i="5" s="1"/>
  <c r="G57" i="5"/>
  <c r="F57" i="5"/>
  <c r="C57" i="5"/>
  <c r="V56" i="5"/>
  <c r="U56" i="5"/>
  <c r="T56" i="5"/>
  <c r="S56" i="5"/>
  <c r="R56" i="5"/>
  <c r="P56" i="5"/>
  <c r="O56" i="5"/>
  <c r="N56" i="5"/>
  <c r="L56" i="5"/>
  <c r="J56" i="5"/>
  <c r="I56" i="5"/>
  <c r="H56" i="5"/>
  <c r="K56" i="5" s="1"/>
  <c r="G56" i="5"/>
  <c r="F56" i="5"/>
  <c r="C56" i="5"/>
  <c r="V55" i="5"/>
  <c r="U55" i="5"/>
  <c r="T55" i="5"/>
  <c r="S55" i="5"/>
  <c r="R55" i="5"/>
  <c r="P55" i="5"/>
  <c r="O55" i="5"/>
  <c r="N55" i="5"/>
  <c r="L55" i="5"/>
  <c r="J55" i="5"/>
  <c r="I55" i="5"/>
  <c r="H55" i="5"/>
  <c r="K55" i="5" s="1"/>
  <c r="G55" i="5"/>
  <c r="F55" i="5"/>
  <c r="C55" i="5"/>
  <c r="V54" i="5"/>
  <c r="U54" i="5"/>
  <c r="T54" i="5"/>
  <c r="S54" i="5"/>
  <c r="R54" i="5"/>
  <c r="P54" i="5"/>
  <c r="O54" i="5"/>
  <c r="N54" i="5"/>
  <c r="L54" i="5"/>
  <c r="J54" i="5"/>
  <c r="I54" i="5"/>
  <c r="H54" i="5"/>
  <c r="K54" i="5" s="1"/>
  <c r="G54" i="5"/>
  <c r="F54" i="5"/>
  <c r="C54" i="5"/>
  <c r="V53" i="5"/>
  <c r="U53" i="5"/>
  <c r="T53" i="5"/>
  <c r="S53" i="5"/>
  <c r="R53" i="5"/>
  <c r="P53" i="5"/>
  <c r="O53" i="5"/>
  <c r="N53" i="5"/>
  <c r="L53" i="5"/>
  <c r="J53" i="5"/>
  <c r="I53" i="5"/>
  <c r="H53" i="5"/>
  <c r="K53" i="5" s="1"/>
  <c r="G53" i="5"/>
  <c r="F53" i="5"/>
  <c r="C53" i="5"/>
  <c r="V52" i="5"/>
  <c r="U52" i="5"/>
  <c r="T52" i="5"/>
  <c r="S52" i="5"/>
  <c r="R52" i="5"/>
  <c r="P52" i="5"/>
  <c r="O52" i="5"/>
  <c r="N52" i="5"/>
  <c r="L52" i="5"/>
  <c r="J52" i="5"/>
  <c r="I52" i="5"/>
  <c r="H52" i="5"/>
  <c r="K52" i="5" s="1"/>
  <c r="G52" i="5"/>
  <c r="F52" i="5"/>
  <c r="C52" i="5"/>
  <c r="V51" i="5"/>
  <c r="U51" i="5"/>
  <c r="T51" i="5"/>
  <c r="S51" i="5"/>
  <c r="R51" i="5"/>
  <c r="P51" i="5"/>
  <c r="O51" i="5"/>
  <c r="N51" i="5"/>
  <c r="L51" i="5"/>
  <c r="J51" i="5"/>
  <c r="I51" i="5"/>
  <c r="H51" i="5"/>
  <c r="K51" i="5" s="1"/>
  <c r="G51" i="5"/>
  <c r="F51" i="5"/>
  <c r="C51" i="5"/>
  <c r="V50" i="5"/>
  <c r="U50" i="5"/>
  <c r="T50" i="5"/>
  <c r="S50" i="5"/>
  <c r="R50" i="5"/>
  <c r="P50" i="5"/>
  <c r="O50" i="5"/>
  <c r="N50" i="5"/>
  <c r="L50" i="5"/>
  <c r="J50" i="5"/>
  <c r="I50" i="5"/>
  <c r="H50" i="5"/>
  <c r="K50" i="5" s="1"/>
  <c r="G50" i="5"/>
  <c r="F50" i="5"/>
  <c r="C50" i="5"/>
  <c r="V49" i="5"/>
  <c r="U49" i="5"/>
  <c r="T49" i="5"/>
  <c r="S49" i="5"/>
  <c r="R49" i="5"/>
  <c r="P49" i="5"/>
  <c r="O49" i="5"/>
  <c r="N49" i="5"/>
  <c r="L49" i="5"/>
  <c r="J49" i="5"/>
  <c r="I49" i="5"/>
  <c r="H49" i="5"/>
  <c r="K49" i="5" s="1"/>
  <c r="G49" i="5"/>
  <c r="F49" i="5"/>
  <c r="C49" i="5"/>
  <c r="V48" i="5"/>
  <c r="U48" i="5"/>
  <c r="T48" i="5"/>
  <c r="S48" i="5"/>
  <c r="R48" i="5"/>
  <c r="P48" i="5"/>
  <c r="O48" i="5"/>
  <c r="N48" i="5"/>
  <c r="L48" i="5"/>
  <c r="J48" i="5"/>
  <c r="I48" i="5"/>
  <c r="H48" i="5"/>
  <c r="K48" i="5" s="1"/>
  <c r="G48" i="5"/>
  <c r="F48" i="5"/>
  <c r="C48" i="5"/>
  <c r="V47" i="5"/>
  <c r="U47" i="5"/>
  <c r="T47" i="5"/>
  <c r="S47" i="5"/>
  <c r="R47" i="5"/>
  <c r="P47" i="5"/>
  <c r="O47" i="5"/>
  <c r="N47" i="5"/>
  <c r="L47" i="5"/>
  <c r="J47" i="5"/>
  <c r="I47" i="5"/>
  <c r="H47" i="5"/>
  <c r="K47" i="5" s="1"/>
  <c r="G47" i="5"/>
  <c r="F47" i="5"/>
  <c r="C47" i="5"/>
  <c r="V46" i="5"/>
  <c r="U46" i="5"/>
  <c r="T46" i="5"/>
  <c r="S46" i="5"/>
  <c r="R46" i="5"/>
  <c r="P46" i="5"/>
  <c r="O46" i="5"/>
  <c r="N46" i="5"/>
  <c r="L46" i="5"/>
  <c r="J46" i="5"/>
  <c r="I46" i="5"/>
  <c r="H46" i="5"/>
  <c r="K46" i="5" s="1"/>
  <c r="G46" i="5"/>
  <c r="F46" i="5"/>
  <c r="C46" i="5"/>
  <c r="V45" i="5"/>
  <c r="U45" i="5"/>
  <c r="T45" i="5"/>
  <c r="S45" i="5"/>
  <c r="R45" i="5"/>
  <c r="P45" i="5"/>
  <c r="O45" i="5"/>
  <c r="N45" i="5"/>
  <c r="L45" i="5"/>
  <c r="J45" i="5"/>
  <c r="I45" i="5"/>
  <c r="H45" i="5"/>
  <c r="K45" i="5" s="1"/>
  <c r="G45" i="5"/>
  <c r="F45" i="5"/>
  <c r="C45" i="5"/>
  <c r="V44" i="5"/>
  <c r="U44" i="5"/>
  <c r="T44" i="5"/>
  <c r="S44" i="5"/>
  <c r="R44" i="5"/>
  <c r="P44" i="5"/>
  <c r="O44" i="5"/>
  <c r="N44" i="5"/>
  <c r="L44" i="5"/>
  <c r="J44" i="5"/>
  <c r="I44" i="5"/>
  <c r="H44" i="5"/>
  <c r="K44" i="5" s="1"/>
  <c r="G44" i="5"/>
  <c r="F44" i="5"/>
  <c r="C44" i="5"/>
  <c r="V43" i="5"/>
  <c r="U43" i="5"/>
  <c r="T43" i="5"/>
  <c r="S43" i="5"/>
  <c r="R43" i="5"/>
  <c r="P43" i="5"/>
  <c r="O43" i="5"/>
  <c r="N43" i="5"/>
  <c r="L43" i="5"/>
  <c r="J43" i="5"/>
  <c r="I43" i="5"/>
  <c r="H43" i="5"/>
  <c r="K43" i="5" s="1"/>
  <c r="G43" i="5"/>
  <c r="F43" i="5"/>
  <c r="C43" i="5"/>
  <c r="V42" i="5"/>
  <c r="U42" i="5"/>
  <c r="T42" i="5"/>
  <c r="S42" i="5"/>
  <c r="R42" i="5"/>
  <c r="P42" i="5"/>
  <c r="O42" i="5"/>
  <c r="N42" i="5"/>
  <c r="L42" i="5"/>
  <c r="J42" i="5"/>
  <c r="I42" i="5"/>
  <c r="H42" i="5"/>
  <c r="K42" i="5" s="1"/>
  <c r="G42" i="5"/>
  <c r="F42" i="5"/>
  <c r="C42" i="5"/>
  <c r="V41" i="5"/>
  <c r="U41" i="5"/>
  <c r="T41" i="5"/>
  <c r="S41" i="5"/>
  <c r="R41" i="5"/>
  <c r="P41" i="5"/>
  <c r="O41" i="5"/>
  <c r="N41" i="5"/>
  <c r="L41" i="5"/>
  <c r="J41" i="5"/>
  <c r="I41" i="5"/>
  <c r="H41" i="5"/>
  <c r="K41" i="5" s="1"/>
  <c r="G41" i="5"/>
  <c r="F41" i="5"/>
  <c r="C41" i="5"/>
  <c r="V40" i="5"/>
  <c r="U40" i="5"/>
  <c r="T40" i="5"/>
  <c r="S40" i="5"/>
  <c r="R40" i="5"/>
  <c r="P40" i="5"/>
  <c r="O40" i="5"/>
  <c r="N40" i="5"/>
  <c r="L40" i="5"/>
  <c r="J40" i="5"/>
  <c r="I40" i="5"/>
  <c r="H40" i="5"/>
  <c r="K40" i="5" s="1"/>
  <c r="G40" i="5"/>
  <c r="F40" i="5"/>
  <c r="C40" i="5"/>
  <c r="V39" i="5"/>
  <c r="U39" i="5"/>
  <c r="T39" i="5"/>
  <c r="S39" i="5"/>
  <c r="R39" i="5"/>
  <c r="P39" i="5"/>
  <c r="O39" i="5"/>
  <c r="N39" i="5"/>
  <c r="L39" i="5"/>
  <c r="J39" i="5"/>
  <c r="I39" i="5"/>
  <c r="H39" i="5"/>
  <c r="K39" i="5" s="1"/>
  <c r="G39" i="5"/>
  <c r="F39" i="5"/>
  <c r="C39" i="5"/>
  <c r="V38" i="5"/>
  <c r="U38" i="5"/>
  <c r="T38" i="5"/>
  <c r="S38" i="5"/>
  <c r="R38" i="5"/>
  <c r="P38" i="5"/>
  <c r="O38" i="5"/>
  <c r="N38" i="5"/>
  <c r="L38" i="5"/>
  <c r="J38" i="5"/>
  <c r="I38" i="5"/>
  <c r="H38" i="5"/>
  <c r="K38" i="5" s="1"/>
  <c r="G38" i="5"/>
  <c r="F38" i="5"/>
  <c r="C38" i="5"/>
  <c r="V37" i="5"/>
  <c r="U37" i="5"/>
  <c r="T37" i="5"/>
  <c r="S37" i="5"/>
  <c r="R37" i="5"/>
  <c r="P37" i="5"/>
  <c r="O37" i="5"/>
  <c r="N37" i="5"/>
  <c r="L37" i="5"/>
  <c r="J37" i="5"/>
  <c r="I37" i="5"/>
  <c r="H37" i="5"/>
  <c r="K37" i="5" s="1"/>
  <c r="G37" i="5"/>
  <c r="F37" i="5"/>
  <c r="C37" i="5"/>
  <c r="V36" i="5"/>
  <c r="U36" i="5"/>
  <c r="T36" i="5"/>
  <c r="S36" i="5"/>
  <c r="R36" i="5"/>
  <c r="P36" i="5"/>
  <c r="O36" i="5"/>
  <c r="N36" i="5"/>
  <c r="L36" i="5"/>
  <c r="J36" i="5"/>
  <c r="I36" i="5"/>
  <c r="H36" i="5"/>
  <c r="K36" i="5" s="1"/>
  <c r="G36" i="5"/>
  <c r="F36" i="5"/>
  <c r="C36" i="5"/>
  <c r="V35" i="5"/>
  <c r="U35" i="5"/>
  <c r="T35" i="5"/>
  <c r="S35" i="5"/>
  <c r="R35" i="5"/>
  <c r="P35" i="5"/>
  <c r="O35" i="5"/>
  <c r="N35" i="5"/>
  <c r="L35" i="5"/>
  <c r="J35" i="5"/>
  <c r="I35" i="5"/>
  <c r="H35" i="5"/>
  <c r="K35" i="5" s="1"/>
  <c r="G35" i="5"/>
  <c r="F35" i="5"/>
  <c r="C35" i="5"/>
  <c r="V34" i="5"/>
  <c r="U34" i="5"/>
  <c r="T34" i="5"/>
  <c r="S34" i="5"/>
  <c r="R34" i="5"/>
  <c r="P34" i="5"/>
  <c r="O34" i="5"/>
  <c r="N34" i="5"/>
  <c r="L34" i="5"/>
  <c r="J34" i="5"/>
  <c r="I34" i="5"/>
  <c r="H34" i="5"/>
  <c r="K34" i="5" s="1"/>
  <c r="G34" i="5"/>
  <c r="F34" i="5"/>
  <c r="C34" i="5"/>
  <c r="V33" i="5"/>
  <c r="U33" i="5"/>
  <c r="T33" i="5"/>
  <c r="S33" i="5"/>
  <c r="R33" i="5"/>
  <c r="P33" i="5"/>
  <c r="O33" i="5"/>
  <c r="N33" i="5"/>
  <c r="L33" i="5"/>
  <c r="J33" i="5"/>
  <c r="I33" i="5"/>
  <c r="H33" i="5"/>
  <c r="K33" i="5" s="1"/>
  <c r="G33" i="5"/>
  <c r="F33" i="5"/>
  <c r="C33" i="5"/>
  <c r="V32" i="5"/>
  <c r="U32" i="5"/>
  <c r="T32" i="5"/>
  <c r="S32" i="5"/>
  <c r="R32" i="5"/>
  <c r="P32" i="5"/>
  <c r="O32" i="5"/>
  <c r="N32" i="5"/>
  <c r="L32" i="5"/>
  <c r="J32" i="5"/>
  <c r="I32" i="5"/>
  <c r="H32" i="5"/>
  <c r="K32" i="5" s="1"/>
  <c r="G32" i="5"/>
  <c r="F32" i="5"/>
  <c r="C32" i="5"/>
  <c r="V31" i="5"/>
  <c r="U31" i="5"/>
  <c r="T31" i="5"/>
  <c r="S31" i="5"/>
  <c r="R31" i="5"/>
  <c r="P31" i="5"/>
  <c r="O31" i="5"/>
  <c r="N31" i="5"/>
  <c r="L31" i="5"/>
  <c r="J31" i="5"/>
  <c r="I31" i="5"/>
  <c r="H31" i="5"/>
  <c r="K31" i="5" s="1"/>
  <c r="G31" i="5"/>
  <c r="F31" i="5"/>
  <c r="C31" i="5"/>
  <c r="V30" i="5"/>
  <c r="U30" i="5"/>
  <c r="T30" i="5"/>
  <c r="S30" i="5"/>
  <c r="R30" i="5"/>
  <c r="P30" i="5"/>
  <c r="O30" i="5"/>
  <c r="N30" i="5"/>
  <c r="L30" i="5"/>
  <c r="J30" i="5"/>
  <c r="I30" i="5"/>
  <c r="H30" i="5"/>
  <c r="K30" i="5" s="1"/>
  <c r="G30" i="5"/>
  <c r="F30" i="5"/>
  <c r="C30" i="5"/>
  <c r="V29" i="5"/>
  <c r="U29" i="5"/>
  <c r="T29" i="5"/>
  <c r="S29" i="5"/>
  <c r="R29" i="5"/>
  <c r="P29" i="5"/>
  <c r="O29" i="5"/>
  <c r="N29" i="5"/>
  <c r="L29" i="5"/>
  <c r="J29" i="5"/>
  <c r="I29" i="5"/>
  <c r="H29" i="5"/>
  <c r="K29" i="5" s="1"/>
  <c r="G29" i="5"/>
  <c r="F29" i="5"/>
  <c r="C29" i="5"/>
  <c r="V28" i="5"/>
  <c r="U28" i="5"/>
  <c r="T28" i="5"/>
  <c r="S28" i="5"/>
  <c r="R28" i="5"/>
  <c r="P28" i="5"/>
  <c r="O28" i="5"/>
  <c r="N28" i="5"/>
  <c r="L28" i="5"/>
  <c r="J28" i="5"/>
  <c r="I28" i="5"/>
  <c r="H28" i="5"/>
  <c r="K28" i="5" s="1"/>
  <c r="G28" i="5"/>
  <c r="F28" i="5"/>
  <c r="C28" i="5"/>
  <c r="V27" i="5"/>
  <c r="U27" i="5"/>
  <c r="T27" i="5"/>
  <c r="S27" i="5"/>
  <c r="R27" i="5"/>
  <c r="P27" i="5"/>
  <c r="O27" i="5"/>
  <c r="N27" i="5"/>
  <c r="L27" i="5"/>
  <c r="J27" i="5"/>
  <c r="I27" i="5"/>
  <c r="H27" i="5"/>
  <c r="K27" i="5" s="1"/>
  <c r="G27" i="5"/>
  <c r="F27" i="5"/>
  <c r="C27" i="5"/>
  <c r="V26" i="5"/>
  <c r="U26" i="5"/>
  <c r="T26" i="5"/>
  <c r="S26" i="5"/>
  <c r="R26" i="5"/>
  <c r="P26" i="5"/>
  <c r="O26" i="5"/>
  <c r="N26" i="5"/>
  <c r="L26" i="5"/>
  <c r="J26" i="5"/>
  <c r="I26" i="5"/>
  <c r="H26" i="5"/>
  <c r="K26" i="5" s="1"/>
  <c r="G26" i="5"/>
  <c r="F26" i="5"/>
  <c r="C26" i="5"/>
  <c r="V25" i="5"/>
  <c r="U25" i="5"/>
  <c r="T25" i="5"/>
  <c r="S25" i="5"/>
  <c r="R25" i="5"/>
  <c r="P25" i="5"/>
  <c r="O25" i="5"/>
  <c r="N25" i="5"/>
  <c r="L25" i="5"/>
  <c r="J25" i="5"/>
  <c r="I25" i="5"/>
  <c r="H25" i="5"/>
  <c r="K25" i="5" s="1"/>
  <c r="G25" i="5"/>
  <c r="F25" i="5"/>
  <c r="C25" i="5"/>
  <c r="V24" i="5"/>
  <c r="U24" i="5"/>
  <c r="T24" i="5"/>
  <c r="S24" i="5"/>
  <c r="R24" i="5"/>
  <c r="P24" i="5"/>
  <c r="O24" i="5"/>
  <c r="N24" i="5"/>
  <c r="L24" i="5"/>
  <c r="J24" i="5"/>
  <c r="I24" i="5"/>
  <c r="H24" i="5"/>
  <c r="K24" i="5" s="1"/>
  <c r="G24" i="5"/>
  <c r="F24" i="5"/>
  <c r="C24" i="5"/>
  <c r="V23" i="5"/>
  <c r="U23" i="5"/>
  <c r="T23" i="5"/>
  <c r="S23" i="5"/>
  <c r="R23" i="5"/>
  <c r="P23" i="5"/>
  <c r="O23" i="5"/>
  <c r="N23" i="5"/>
  <c r="L23" i="5"/>
  <c r="J23" i="5"/>
  <c r="I23" i="5"/>
  <c r="H23" i="5"/>
  <c r="K23" i="5" s="1"/>
  <c r="G23" i="5"/>
  <c r="F23" i="5"/>
  <c r="C23" i="5"/>
  <c r="V22" i="5"/>
  <c r="U22" i="5"/>
  <c r="T22" i="5"/>
  <c r="S22" i="5"/>
  <c r="R22" i="5"/>
  <c r="P22" i="5"/>
  <c r="O22" i="5"/>
  <c r="N22" i="5"/>
  <c r="L22" i="5"/>
  <c r="J22" i="5"/>
  <c r="I22" i="5"/>
  <c r="H22" i="5"/>
  <c r="K22" i="5" s="1"/>
  <c r="G22" i="5"/>
  <c r="F22" i="5"/>
  <c r="C22" i="5"/>
  <c r="V21" i="5"/>
  <c r="U21" i="5"/>
  <c r="T21" i="5"/>
  <c r="S21" i="5"/>
  <c r="R21" i="5"/>
  <c r="P21" i="5"/>
  <c r="O21" i="5"/>
  <c r="N21" i="5"/>
  <c r="L21" i="5"/>
  <c r="J21" i="5"/>
  <c r="I21" i="5"/>
  <c r="H21" i="5"/>
  <c r="K21" i="5" s="1"/>
  <c r="G21" i="5"/>
  <c r="F21" i="5"/>
  <c r="C21" i="5"/>
  <c r="V20" i="5"/>
  <c r="U20" i="5"/>
  <c r="T20" i="5"/>
  <c r="S20" i="5"/>
  <c r="R20" i="5"/>
  <c r="P20" i="5"/>
  <c r="O20" i="5"/>
  <c r="N20" i="5"/>
  <c r="L20" i="5"/>
  <c r="J20" i="5"/>
  <c r="I20" i="5"/>
  <c r="H20" i="5"/>
  <c r="K20" i="5" s="1"/>
  <c r="G20" i="5"/>
  <c r="F20" i="5"/>
  <c r="C20" i="5"/>
  <c r="V19" i="5"/>
  <c r="U19" i="5"/>
  <c r="T19" i="5"/>
  <c r="S19" i="5"/>
  <c r="R19" i="5"/>
  <c r="P19" i="5"/>
  <c r="O19" i="5"/>
  <c r="N19" i="5"/>
  <c r="L19" i="5"/>
  <c r="J19" i="5"/>
  <c r="I19" i="5"/>
  <c r="H19" i="5"/>
  <c r="K19" i="5" s="1"/>
  <c r="G19" i="5"/>
  <c r="F19" i="5"/>
  <c r="C19" i="5"/>
  <c r="V18" i="5"/>
  <c r="U18" i="5"/>
  <c r="T18" i="5"/>
  <c r="S18" i="5"/>
  <c r="R18" i="5"/>
  <c r="P18" i="5"/>
  <c r="O18" i="5"/>
  <c r="N18" i="5"/>
  <c r="L18" i="5"/>
  <c r="J18" i="5"/>
  <c r="I18" i="5"/>
  <c r="H18" i="5"/>
  <c r="K18" i="5" s="1"/>
  <c r="G18" i="5"/>
  <c r="F18" i="5"/>
  <c r="C18" i="5"/>
  <c r="V17" i="5"/>
  <c r="U17" i="5"/>
  <c r="T17" i="5"/>
  <c r="S17" i="5"/>
  <c r="R17" i="5"/>
  <c r="P17" i="5"/>
  <c r="O17" i="5"/>
  <c r="N17" i="5"/>
  <c r="L17" i="5"/>
  <c r="J17" i="5"/>
  <c r="I17" i="5"/>
  <c r="H17" i="5"/>
  <c r="K17" i="5" s="1"/>
  <c r="G17" i="5"/>
  <c r="F17" i="5"/>
  <c r="C17" i="5"/>
  <c r="V16" i="5"/>
  <c r="U16" i="5"/>
  <c r="T16" i="5"/>
  <c r="S16" i="5"/>
  <c r="R16" i="5"/>
  <c r="P16" i="5"/>
  <c r="O16" i="5"/>
  <c r="N16" i="5"/>
  <c r="L16" i="5"/>
  <c r="J16" i="5"/>
  <c r="I16" i="5"/>
  <c r="H16" i="5"/>
  <c r="K16" i="5" s="1"/>
  <c r="G16" i="5"/>
  <c r="F16" i="5"/>
  <c r="C16" i="5"/>
  <c r="V15" i="5"/>
  <c r="U15" i="5"/>
  <c r="T15" i="5"/>
  <c r="S15" i="5"/>
  <c r="R15" i="5"/>
  <c r="P15" i="5"/>
  <c r="O15" i="5"/>
  <c r="N15" i="5"/>
  <c r="L15" i="5"/>
  <c r="J15" i="5"/>
  <c r="I15" i="5"/>
  <c r="H15" i="5"/>
  <c r="K15" i="5" s="1"/>
  <c r="G15" i="5"/>
  <c r="F15" i="5"/>
  <c r="C15" i="5"/>
  <c r="V14" i="5"/>
  <c r="U14" i="5"/>
  <c r="T14" i="5"/>
  <c r="S14" i="5"/>
  <c r="R14" i="5"/>
  <c r="P14" i="5"/>
  <c r="O14" i="5"/>
  <c r="N14" i="5"/>
  <c r="L14" i="5"/>
  <c r="J14" i="5"/>
  <c r="I14" i="5"/>
  <c r="H14" i="5"/>
  <c r="K14" i="5" s="1"/>
  <c r="G14" i="5"/>
  <c r="F14" i="5"/>
  <c r="C14" i="5"/>
  <c r="V13" i="5"/>
  <c r="U13" i="5"/>
  <c r="T13" i="5"/>
  <c r="S13" i="5"/>
  <c r="R13" i="5"/>
  <c r="P13" i="5"/>
  <c r="O13" i="5"/>
  <c r="N13" i="5"/>
  <c r="L13" i="5"/>
  <c r="J13" i="5"/>
  <c r="I13" i="5"/>
  <c r="H13" i="5"/>
  <c r="K13" i="5" s="1"/>
  <c r="G13" i="5"/>
  <c r="F13" i="5"/>
  <c r="C13" i="5"/>
  <c r="V9" i="5"/>
  <c r="A9" i="5"/>
  <c r="A141" i="4"/>
  <c r="Y137" i="4"/>
  <c r="T137" i="4"/>
  <c r="S137" i="4"/>
  <c r="R137" i="4"/>
  <c r="X137" i="4" s="1"/>
  <c r="P137" i="4"/>
  <c r="O137" i="4"/>
  <c r="N137" i="4"/>
  <c r="L137" i="4"/>
  <c r="K137" i="4"/>
  <c r="J137" i="4"/>
  <c r="I137" i="4"/>
  <c r="G137" i="4"/>
  <c r="F137" i="4"/>
  <c r="C137" i="4"/>
  <c r="T136" i="4"/>
  <c r="S136" i="4"/>
  <c r="R136" i="4"/>
  <c r="W136" i="4" s="1"/>
  <c r="P136" i="4"/>
  <c r="O136" i="4"/>
  <c r="N136" i="4"/>
  <c r="L136" i="4"/>
  <c r="K136" i="4"/>
  <c r="J136" i="4"/>
  <c r="I136" i="4"/>
  <c r="G136" i="4"/>
  <c r="F136" i="4"/>
  <c r="C136" i="4"/>
  <c r="Z135" i="4"/>
  <c r="W135" i="4"/>
  <c r="T135" i="4"/>
  <c r="S135" i="4"/>
  <c r="R135" i="4"/>
  <c r="Y135" i="4" s="1"/>
  <c r="P135" i="4"/>
  <c r="O135" i="4"/>
  <c r="N135" i="4"/>
  <c r="L135" i="4"/>
  <c r="K135" i="4"/>
  <c r="J135" i="4"/>
  <c r="I135" i="4"/>
  <c r="G135" i="4"/>
  <c r="F135" i="4"/>
  <c r="C135" i="4"/>
  <c r="Z134" i="4"/>
  <c r="Y134" i="4"/>
  <c r="W134" i="4"/>
  <c r="T134" i="4"/>
  <c r="S134" i="4"/>
  <c r="R134" i="4"/>
  <c r="X134" i="4" s="1"/>
  <c r="P134" i="4"/>
  <c r="O134" i="4"/>
  <c r="N134" i="4"/>
  <c r="L134" i="4"/>
  <c r="K134" i="4"/>
  <c r="J134" i="4"/>
  <c r="I134" i="4"/>
  <c r="G134" i="4"/>
  <c r="F134" i="4"/>
  <c r="C134" i="4"/>
  <c r="Y133" i="4"/>
  <c r="T133" i="4"/>
  <c r="S133" i="4"/>
  <c r="R133" i="4"/>
  <c r="X133" i="4" s="1"/>
  <c r="P133" i="4"/>
  <c r="O133" i="4"/>
  <c r="N133" i="4"/>
  <c r="L133" i="4"/>
  <c r="K133" i="4"/>
  <c r="J133" i="4"/>
  <c r="I133" i="4"/>
  <c r="G133" i="4"/>
  <c r="F133" i="4"/>
  <c r="C133" i="4"/>
  <c r="T132" i="4"/>
  <c r="S132" i="4"/>
  <c r="R132" i="4"/>
  <c r="W132" i="4" s="1"/>
  <c r="P132" i="4"/>
  <c r="O132" i="4"/>
  <c r="N132" i="4"/>
  <c r="L132" i="4"/>
  <c r="K132" i="4"/>
  <c r="J132" i="4"/>
  <c r="I132" i="4"/>
  <c r="G132" i="4"/>
  <c r="F132" i="4"/>
  <c r="C132" i="4"/>
  <c r="Z130" i="4"/>
  <c r="Y130" i="4"/>
  <c r="X130" i="4"/>
  <c r="W130" i="4"/>
  <c r="T130" i="4"/>
  <c r="S130" i="4"/>
  <c r="R130" i="4"/>
  <c r="V130" i="4" s="1"/>
  <c r="P130" i="4"/>
  <c r="O130" i="4"/>
  <c r="N130" i="4"/>
  <c r="M130" i="4"/>
  <c r="L130" i="4"/>
  <c r="K130" i="4"/>
  <c r="J130" i="4"/>
  <c r="I130" i="4"/>
  <c r="H130" i="4"/>
  <c r="G130" i="4"/>
  <c r="F130" i="4"/>
  <c r="C130" i="4"/>
  <c r="Z129" i="4"/>
  <c r="Y129" i="4"/>
  <c r="X129" i="4"/>
  <c r="W129" i="4"/>
  <c r="T129" i="4"/>
  <c r="S129" i="4"/>
  <c r="R129" i="4"/>
  <c r="V129" i="4" s="1"/>
  <c r="P129" i="4"/>
  <c r="O129" i="4"/>
  <c r="N129" i="4"/>
  <c r="M129" i="4"/>
  <c r="L129" i="4"/>
  <c r="K129" i="4"/>
  <c r="J129" i="4"/>
  <c r="I129" i="4"/>
  <c r="H129" i="4"/>
  <c r="G129" i="4"/>
  <c r="F129" i="4"/>
  <c r="C129" i="4"/>
  <c r="Z128" i="4"/>
  <c r="Y128" i="4"/>
  <c r="X128" i="4"/>
  <c r="W128" i="4"/>
  <c r="T128" i="4"/>
  <c r="S128" i="4"/>
  <c r="R128" i="4"/>
  <c r="V128" i="4" s="1"/>
  <c r="P128" i="4"/>
  <c r="O128" i="4"/>
  <c r="N128" i="4"/>
  <c r="M128" i="4"/>
  <c r="L128" i="4"/>
  <c r="K128" i="4"/>
  <c r="J128" i="4"/>
  <c r="I128" i="4"/>
  <c r="H128" i="4"/>
  <c r="G128" i="4"/>
  <c r="F128" i="4"/>
  <c r="C128" i="4"/>
  <c r="Z127" i="4"/>
  <c r="Y127" i="4"/>
  <c r="X127" i="4"/>
  <c r="W127" i="4"/>
  <c r="T127" i="4"/>
  <c r="S127" i="4"/>
  <c r="R127" i="4"/>
  <c r="V127" i="4" s="1"/>
  <c r="P127" i="4"/>
  <c r="O127" i="4"/>
  <c r="N127" i="4"/>
  <c r="M127" i="4"/>
  <c r="L127" i="4"/>
  <c r="K127" i="4"/>
  <c r="J127" i="4"/>
  <c r="I127" i="4"/>
  <c r="H127" i="4"/>
  <c r="G127" i="4"/>
  <c r="F127" i="4"/>
  <c r="C127" i="4"/>
  <c r="Z125" i="4"/>
  <c r="Y125" i="4"/>
  <c r="X125" i="4"/>
  <c r="W125" i="4"/>
  <c r="T125" i="4"/>
  <c r="S125" i="4"/>
  <c r="R125" i="4"/>
  <c r="V125" i="4" s="1"/>
  <c r="P125" i="4"/>
  <c r="O125" i="4"/>
  <c r="N125" i="4"/>
  <c r="M125" i="4"/>
  <c r="L125" i="4"/>
  <c r="K125" i="4"/>
  <c r="J125" i="4"/>
  <c r="I125" i="4"/>
  <c r="H125" i="4"/>
  <c r="G125" i="4"/>
  <c r="F125" i="4"/>
  <c r="C125" i="4"/>
  <c r="Z123" i="4"/>
  <c r="Y123" i="4"/>
  <c r="X123" i="4"/>
  <c r="W123" i="4"/>
  <c r="T123" i="4"/>
  <c r="S123" i="4"/>
  <c r="R123" i="4"/>
  <c r="V123" i="4" s="1"/>
  <c r="P123" i="4"/>
  <c r="O123" i="4"/>
  <c r="N123" i="4"/>
  <c r="M123" i="4"/>
  <c r="L123" i="4"/>
  <c r="K123" i="4"/>
  <c r="J123" i="4"/>
  <c r="I123" i="4"/>
  <c r="H123" i="4"/>
  <c r="G123" i="4"/>
  <c r="F123" i="4"/>
  <c r="C123" i="4"/>
  <c r="Z121" i="4"/>
  <c r="Y121" i="4"/>
  <c r="X121" i="4"/>
  <c r="W121" i="4"/>
  <c r="T121" i="4"/>
  <c r="S121" i="4"/>
  <c r="R121" i="4"/>
  <c r="V121" i="4" s="1"/>
  <c r="P121" i="4"/>
  <c r="O121" i="4"/>
  <c r="N121" i="4"/>
  <c r="M121" i="4"/>
  <c r="L121" i="4"/>
  <c r="K121" i="4"/>
  <c r="J121" i="4"/>
  <c r="I121" i="4"/>
  <c r="H121" i="4"/>
  <c r="G121" i="4"/>
  <c r="F121" i="4"/>
  <c r="C121" i="4"/>
  <c r="Z120" i="4"/>
  <c r="Y120" i="4"/>
  <c r="X120" i="4"/>
  <c r="W120" i="4"/>
  <c r="T120" i="4"/>
  <c r="S120" i="4"/>
  <c r="R120" i="4"/>
  <c r="V120" i="4" s="1"/>
  <c r="P120" i="4"/>
  <c r="O120" i="4"/>
  <c r="N120" i="4"/>
  <c r="M120" i="4"/>
  <c r="L120" i="4"/>
  <c r="K120" i="4"/>
  <c r="J120" i="4"/>
  <c r="I120" i="4"/>
  <c r="H120" i="4"/>
  <c r="G120" i="4"/>
  <c r="F120" i="4"/>
  <c r="C120" i="4"/>
  <c r="Z119" i="4"/>
  <c r="Y119" i="4"/>
  <c r="X119" i="4"/>
  <c r="W119" i="4"/>
  <c r="T119" i="4"/>
  <c r="S119" i="4"/>
  <c r="R119" i="4"/>
  <c r="V119" i="4" s="1"/>
  <c r="P119" i="4"/>
  <c r="O119" i="4"/>
  <c r="N119" i="4"/>
  <c r="M119" i="4"/>
  <c r="L119" i="4"/>
  <c r="K119" i="4"/>
  <c r="J119" i="4"/>
  <c r="I119" i="4"/>
  <c r="H119" i="4"/>
  <c r="G119" i="4"/>
  <c r="F119" i="4"/>
  <c r="C119" i="4"/>
  <c r="Z118" i="4"/>
  <c r="Y118" i="4"/>
  <c r="X118" i="4"/>
  <c r="W118" i="4"/>
  <c r="T118" i="4"/>
  <c r="S118" i="4"/>
  <c r="R118" i="4"/>
  <c r="V118" i="4" s="1"/>
  <c r="P118" i="4"/>
  <c r="O118" i="4"/>
  <c r="N118" i="4"/>
  <c r="M118" i="4"/>
  <c r="L118" i="4"/>
  <c r="K118" i="4"/>
  <c r="J118" i="4"/>
  <c r="I118" i="4"/>
  <c r="H118" i="4"/>
  <c r="G118" i="4"/>
  <c r="F118" i="4"/>
  <c r="C118" i="4"/>
  <c r="Z117" i="4"/>
  <c r="Y117" i="4"/>
  <c r="X117" i="4"/>
  <c r="W117" i="4"/>
  <c r="T117" i="4"/>
  <c r="S117" i="4"/>
  <c r="R117" i="4"/>
  <c r="V117" i="4" s="1"/>
  <c r="P117" i="4"/>
  <c r="O117" i="4"/>
  <c r="N117" i="4"/>
  <c r="M117" i="4"/>
  <c r="L117" i="4"/>
  <c r="K117" i="4"/>
  <c r="J117" i="4"/>
  <c r="I117" i="4"/>
  <c r="H117" i="4"/>
  <c r="G117" i="4"/>
  <c r="F117" i="4"/>
  <c r="C117" i="4"/>
  <c r="Z116" i="4"/>
  <c r="Y116" i="4"/>
  <c r="X116" i="4"/>
  <c r="W116" i="4"/>
  <c r="T116" i="4"/>
  <c r="S116" i="4"/>
  <c r="R116" i="4"/>
  <c r="V116" i="4" s="1"/>
  <c r="P116" i="4"/>
  <c r="O116" i="4"/>
  <c r="N116" i="4"/>
  <c r="M116" i="4"/>
  <c r="L116" i="4"/>
  <c r="K116" i="4"/>
  <c r="J116" i="4"/>
  <c r="I116" i="4"/>
  <c r="H116" i="4"/>
  <c r="G116" i="4"/>
  <c r="F116" i="4"/>
  <c r="C116" i="4"/>
  <c r="Z115" i="4"/>
  <c r="Y115" i="4"/>
  <c r="X115" i="4"/>
  <c r="W115" i="4"/>
  <c r="T115" i="4"/>
  <c r="S115" i="4"/>
  <c r="R115" i="4"/>
  <c r="V115" i="4" s="1"/>
  <c r="P115" i="4"/>
  <c r="O115" i="4"/>
  <c r="N115" i="4"/>
  <c r="M115" i="4"/>
  <c r="L115" i="4"/>
  <c r="K115" i="4"/>
  <c r="J115" i="4"/>
  <c r="I115" i="4"/>
  <c r="H115" i="4"/>
  <c r="G115" i="4"/>
  <c r="F115" i="4"/>
  <c r="C115" i="4"/>
  <c r="Z114" i="4"/>
  <c r="Y114" i="4"/>
  <c r="X114" i="4"/>
  <c r="W114" i="4"/>
  <c r="T114" i="4"/>
  <c r="S114" i="4"/>
  <c r="R114" i="4"/>
  <c r="V114" i="4" s="1"/>
  <c r="P114" i="4"/>
  <c r="O114" i="4"/>
  <c r="N114" i="4"/>
  <c r="M114" i="4"/>
  <c r="L114" i="4"/>
  <c r="K114" i="4"/>
  <c r="J114" i="4"/>
  <c r="I114" i="4"/>
  <c r="H114" i="4"/>
  <c r="G114" i="4"/>
  <c r="F114" i="4"/>
  <c r="C114" i="4"/>
  <c r="Z113" i="4"/>
  <c r="Y113" i="4"/>
  <c r="X113" i="4"/>
  <c r="W113" i="4"/>
  <c r="T113" i="4"/>
  <c r="S113" i="4"/>
  <c r="R113" i="4"/>
  <c r="V113" i="4" s="1"/>
  <c r="P113" i="4"/>
  <c r="O113" i="4"/>
  <c r="N113" i="4"/>
  <c r="M113" i="4"/>
  <c r="L113" i="4"/>
  <c r="K113" i="4"/>
  <c r="J113" i="4"/>
  <c r="I113" i="4"/>
  <c r="H113" i="4"/>
  <c r="G113" i="4"/>
  <c r="F113" i="4"/>
  <c r="C113" i="4"/>
  <c r="T112" i="4"/>
  <c r="S112" i="4"/>
  <c r="R112" i="4"/>
  <c r="P112" i="4"/>
  <c r="O112" i="4"/>
  <c r="N112" i="4"/>
  <c r="L112" i="4"/>
  <c r="K112" i="4"/>
  <c r="J112" i="4"/>
  <c r="I112" i="4"/>
  <c r="G112" i="4"/>
  <c r="F112" i="4"/>
  <c r="Z111" i="4"/>
  <c r="Y111" i="4"/>
  <c r="X111" i="4"/>
  <c r="W111" i="4"/>
  <c r="V111" i="4"/>
  <c r="T111" i="4"/>
  <c r="S111" i="4"/>
  <c r="R111" i="4"/>
  <c r="P111" i="4"/>
  <c r="O111" i="4"/>
  <c r="N111" i="4"/>
  <c r="L111" i="4"/>
  <c r="K111" i="4"/>
  <c r="M111" i="4" s="1"/>
  <c r="J111" i="4"/>
  <c r="I111" i="4"/>
  <c r="H111" i="4"/>
  <c r="G111" i="4"/>
  <c r="F111" i="4"/>
  <c r="C111" i="4"/>
  <c r="T110" i="4"/>
  <c r="S110" i="4"/>
  <c r="R110" i="4"/>
  <c r="P110" i="4"/>
  <c r="O110" i="4"/>
  <c r="N110" i="4"/>
  <c r="L110" i="4"/>
  <c r="K110" i="4"/>
  <c r="J110" i="4"/>
  <c r="I110" i="4"/>
  <c r="G110" i="4"/>
  <c r="F110" i="4"/>
  <c r="Z109" i="4"/>
  <c r="Y109" i="4"/>
  <c r="X109" i="4"/>
  <c r="W109" i="4"/>
  <c r="V109" i="4"/>
  <c r="T109" i="4"/>
  <c r="S109" i="4"/>
  <c r="R109" i="4"/>
  <c r="P109" i="4"/>
  <c r="O109" i="4"/>
  <c r="N109" i="4"/>
  <c r="L109" i="4"/>
  <c r="K109" i="4"/>
  <c r="J109" i="4"/>
  <c r="I109" i="4"/>
  <c r="H109" i="4"/>
  <c r="M109" i="4" s="1"/>
  <c r="G109" i="4"/>
  <c r="F109" i="4"/>
  <c r="C109" i="4"/>
  <c r="Z108" i="4"/>
  <c r="Y108" i="4"/>
  <c r="X108" i="4"/>
  <c r="W108" i="4"/>
  <c r="V108" i="4"/>
  <c r="T108" i="4"/>
  <c r="S108" i="4"/>
  <c r="R108" i="4"/>
  <c r="P108" i="4"/>
  <c r="O108" i="4"/>
  <c r="N108" i="4"/>
  <c r="L108" i="4"/>
  <c r="K108" i="4"/>
  <c r="J108" i="4"/>
  <c r="I108" i="4"/>
  <c r="H108" i="4"/>
  <c r="M108" i="4" s="1"/>
  <c r="G108" i="4"/>
  <c r="F108" i="4"/>
  <c r="C108" i="4"/>
  <c r="Z107" i="4"/>
  <c r="Y107" i="4"/>
  <c r="X107" i="4"/>
  <c r="W107" i="4"/>
  <c r="V107" i="4"/>
  <c r="T107" i="4"/>
  <c r="S107" i="4"/>
  <c r="R107" i="4"/>
  <c r="P107" i="4"/>
  <c r="O107" i="4"/>
  <c r="N107" i="4"/>
  <c r="L107" i="4"/>
  <c r="K107" i="4"/>
  <c r="J107" i="4"/>
  <c r="I107" i="4"/>
  <c r="H107" i="4"/>
  <c r="M107" i="4" s="1"/>
  <c r="G107" i="4"/>
  <c r="F107" i="4"/>
  <c r="C107" i="4"/>
  <c r="Z106" i="4"/>
  <c r="Y106" i="4"/>
  <c r="X106" i="4"/>
  <c r="W106" i="4"/>
  <c r="V106" i="4"/>
  <c r="T106" i="4"/>
  <c r="S106" i="4"/>
  <c r="R106" i="4"/>
  <c r="P106" i="4"/>
  <c r="O106" i="4"/>
  <c r="N106" i="4"/>
  <c r="L106" i="4"/>
  <c r="K106" i="4"/>
  <c r="J106" i="4"/>
  <c r="I106" i="4"/>
  <c r="H106" i="4"/>
  <c r="M106" i="4" s="1"/>
  <c r="G106" i="4"/>
  <c r="F106" i="4"/>
  <c r="C106" i="4"/>
  <c r="Z105" i="4"/>
  <c r="Y105" i="4"/>
  <c r="X105" i="4"/>
  <c r="W105" i="4"/>
  <c r="V105" i="4"/>
  <c r="T105" i="4"/>
  <c r="S105" i="4"/>
  <c r="R105" i="4"/>
  <c r="P105" i="4"/>
  <c r="O105" i="4"/>
  <c r="N105" i="4"/>
  <c r="L105" i="4"/>
  <c r="K105" i="4"/>
  <c r="J105" i="4"/>
  <c r="I105" i="4"/>
  <c r="H105" i="4"/>
  <c r="M105" i="4" s="1"/>
  <c r="G105" i="4"/>
  <c r="F105" i="4"/>
  <c r="C105" i="4"/>
  <c r="Z103" i="4"/>
  <c r="Y103" i="4"/>
  <c r="X103" i="4"/>
  <c r="W103" i="4"/>
  <c r="V103" i="4"/>
  <c r="T103" i="4"/>
  <c r="S103" i="4"/>
  <c r="R103" i="4"/>
  <c r="P103" i="4"/>
  <c r="O103" i="4"/>
  <c r="N103" i="4"/>
  <c r="L103" i="4"/>
  <c r="K103" i="4"/>
  <c r="J103" i="4"/>
  <c r="I103" i="4"/>
  <c r="H103" i="4"/>
  <c r="M103" i="4" s="1"/>
  <c r="G103" i="4"/>
  <c r="F103" i="4"/>
  <c r="C103" i="4"/>
  <c r="Z102" i="4"/>
  <c r="Y102" i="4"/>
  <c r="X102" i="4"/>
  <c r="W102" i="4"/>
  <c r="V102" i="4"/>
  <c r="T102" i="4"/>
  <c r="S102" i="4"/>
  <c r="R102" i="4"/>
  <c r="P102" i="4"/>
  <c r="O102" i="4"/>
  <c r="N102" i="4"/>
  <c r="L102" i="4"/>
  <c r="K102" i="4"/>
  <c r="J102" i="4"/>
  <c r="I102" i="4"/>
  <c r="H102" i="4"/>
  <c r="M102" i="4" s="1"/>
  <c r="G102" i="4"/>
  <c r="F102" i="4"/>
  <c r="C102" i="4"/>
  <c r="Z101" i="4"/>
  <c r="Y101" i="4"/>
  <c r="X101" i="4"/>
  <c r="W101" i="4"/>
  <c r="V101" i="4"/>
  <c r="T101" i="4"/>
  <c r="S101" i="4"/>
  <c r="R101" i="4"/>
  <c r="P101" i="4"/>
  <c r="O101" i="4"/>
  <c r="N101" i="4"/>
  <c r="L101" i="4"/>
  <c r="K101" i="4"/>
  <c r="J101" i="4"/>
  <c r="I101" i="4"/>
  <c r="H101" i="4"/>
  <c r="M101" i="4" s="1"/>
  <c r="G101" i="4"/>
  <c r="F101" i="4"/>
  <c r="C101" i="4"/>
  <c r="Z100" i="4"/>
  <c r="Y100" i="4"/>
  <c r="X100" i="4"/>
  <c r="W100" i="4"/>
  <c r="V100" i="4"/>
  <c r="T100" i="4"/>
  <c r="S100" i="4"/>
  <c r="R100" i="4"/>
  <c r="P100" i="4"/>
  <c r="O100" i="4"/>
  <c r="N100" i="4"/>
  <c r="L100" i="4"/>
  <c r="K100" i="4"/>
  <c r="J100" i="4"/>
  <c r="I100" i="4"/>
  <c r="H100" i="4"/>
  <c r="M100" i="4" s="1"/>
  <c r="G100" i="4"/>
  <c r="F100" i="4"/>
  <c r="C100" i="4"/>
  <c r="Z99" i="4"/>
  <c r="Y99" i="4"/>
  <c r="X99" i="4"/>
  <c r="W99" i="4"/>
  <c r="V99" i="4"/>
  <c r="T99" i="4"/>
  <c r="S99" i="4"/>
  <c r="R99" i="4"/>
  <c r="P99" i="4"/>
  <c r="O99" i="4"/>
  <c r="N99" i="4"/>
  <c r="L99" i="4"/>
  <c r="K99" i="4"/>
  <c r="J99" i="4"/>
  <c r="I99" i="4"/>
  <c r="H99" i="4"/>
  <c r="M99" i="4" s="1"/>
  <c r="G99" i="4"/>
  <c r="F99" i="4"/>
  <c r="C99" i="4"/>
  <c r="Z98" i="4"/>
  <c r="Y98" i="4"/>
  <c r="X98" i="4"/>
  <c r="W98" i="4"/>
  <c r="V98" i="4"/>
  <c r="T98" i="4"/>
  <c r="S98" i="4"/>
  <c r="R98" i="4"/>
  <c r="P98" i="4"/>
  <c r="O98" i="4"/>
  <c r="N98" i="4"/>
  <c r="L98" i="4"/>
  <c r="K98" i="4"/>
  <c r="J98" i="4"/>
  <c r="I98" i="4"/>
  <c r="H98" i="4"/>
  <c r="M98" i="4" s="1"/>
  <c r="G98" i="4"/>
  <c r="F98" i="4"/>
  <c r="C98" i="4"/>
  <c r="Z97" i="4"/>
  <c r="Y97" i="4"/>
  <c r="X97" i="4"/>
  <c r="W97" i="4"/>
  <c r="V97" i="4"/>
  <c r="T97" i="4"/>
  <c r="S97" i="4"/>
  <c r="R97" i="4"/>
  <c r="P97" i="4"/>
  <c r="O97" i="4"/>
  <c r="N97" i="4"/>
  <c r="L97" i="4"/>
  <c r="K97" i="4"/>
  <c r="J97" i="4"/>
  <c r="I97" i="4"/>
  <c r="H97" i="4"/>
  <c r="M97" i="4" s="1"/>
  <c r="G97" i="4"/>
  <c r="F97" i="4"/>
  <c r="C97" i="4"/>
  <c r="Z96" i="4"/>
  <c r="Y96" i="4"/>
  <c r="X96" i="4"/>
  <c r="W96" i="4"/>
  <c r="V96" i="4"/>
  <c r="T96" i="4"/>
  <c r="S96" i="4"/>
  <c r="R96" i="4"/>
  <c r="P96" i="4"/>
  <c r="O96" i="4"/>
  <c r="N96" i="4"/>
  <c r="L96" i="4"/>
  <c r="K96" i="4"/>
  <c r="J96" i="4"/>
  <c r="I96" i="4"/>
  <c r="H96" i="4"/>
  <c r="M96" i="4" s="1"/>
  <c r="G96" i="4"/>
  <c r="F96" i="4"/>
  <c r="C96" i="4"/>
  <c r="Z95" i="4"/>
  <c r="Y95" i="4"/>
  <c r="X95" i="4"/>
  <c r="W95" i="4"/>
  <c r="V95" i="4"/>
  <c r="T95" i="4"/>
  <c r="S95" i="4"/>
  <c r="R95" i="4"/>
  <c r="P95" i="4"/>
  <c r="O95" i="4"/>
  <c r="N95" i="4"/>
  <c r="L95" i="4"/>
  <c r="K95" i="4"/>
  <c r="J95" i="4"/>
  <c r="I95" i="4"/>
  <c r="H95" i="4"/>
  <c r="M95" i="4" s="1"/>
  <c r="G95" i="4"/>
  <c r="F95" i="4"/>
  <c r="C95" i="4"/>
  <c r="Z94" i="4"/>
  <c r="Y94" i="4"/>
  <c r="X94" i="4"/>
  <c r="W94" i="4"/>
  <c r="V94" i="4"/>
  <c r="T94" i="4"/>
  <c r="S94" i="4"/>
  <c r="R94" i="4"/>
  <c r="P94" i="4"/>
  <c r="O94" i="4"/>
  <c r="N94" i="4"/>
  <c r="L94" i="4"/>
  <c r="K94" i="4"/>
  <c r="J94" i="4"/>
  <c r="I94" i="4"/>
  <c r="H94" i="4"/>
  <c r="M94" i="4" s="1"/>
  <c r="G94" i="4"/>
  <c r="F94" i="4"/>
  <c r="C94" i="4"/>
  <c r="Z93" i="4"/>
  <c r="Y93" i="4"/>
  <c r="X93" i="4"/>
  <c r="W93" i="4"/>
  <c r="V93" i="4"/>
  <c r="T93" i="4"/>
  <c r="S93" i="4"/>
  <c r="R93" i="4"/>
  <c r="P93" i="4"/>
  <c r="O93" i="4"/>
  <c r="N93" i="4"/>
  <c r="L93" i="4"/>
  <c r="K93" i="4"/>
  <c r="J93" i="4"/>
  <c r="I93" i="4"/>
  <c r="H93" i="4"/>
  <c r="M93" i="4" s="1"/>
  <c r="G93" i="4"/>
  <c r="F93" i="4"/>
  <c r="C93" i="4"/>
  <c r="Z92" i="4"/>
  <c r="Y92" i="4"/>
  <c r="X92" i="4"/>
  <c r="W92" i="4"/>
  <c r="V92" i="4"/>
  <c r="T92" i="4"/>
  <c r="S92" i="4"/>
  <c r="R92" i="4"/>
  <c r="P92" i="4"/>
  <c r="O92" i="4"/>
  <c r="N92" i="4"/>
  <c r="L92" i="4"/>
  <c r="K92" i="4"/>
  <c r="J92" i="4"/>
  <c r="I92" i="4"/>
  <c r="H92" i="4"/>
  <c r="M92" i="4" s="1"/>
  <c r="G92" i="4"/>
  <c r="F92" i="4"/>
  <c r="C92" i="4"/>
  <c r="Z91" i="4"/>
  <c r="Y91" i="4"/>
  <c r="X91" i="4"/>
  <c r="W91" i="4"/>
  <c r="V91" i="4"/>
  <c r="T91" i="4"/>
  <c r="S91" i="4"/>
  <c r="R91" i="4"/>
  <c r="P91" i="4"/>
  <c r="O91" i="4"/>
  <c r="N91" i="4"/>
  <c r="L91" i="4"/>
  <c r="K91" i="4"/>
  <c r="J91" i="4"/>
  <c r="I91" i="4"/>
  <c r="H91" i="4"/>
  <c r="M91" i="4" s="1"/>
  <c r="G91" i="4"/>
  <c r="F91" i="4"/>
  <c r="C91" i="4"/>
  <c r="Z90" i="4"/>
  <c r="Y90" i="4"/>
  <c r="X90" i="4"/>
  <c r="W90" i="4"/>
  <c r="V90" i="4"/>
  <c r="T90" i="4"/>
  <c r="S90" i="4"/>
  <c r="R90" i="4"/>
  <c r="P90" i="4"/>
  <c r="O90" i="4"/>
  <c r="N90" i="4"/>
  <c r="L90" i="4"/>
  <c r="K90" i="4"/>
  <c r="J90" i="4"/>
  <c r="I90" i="4"/>
  <c r="H90" i="4"/>
  <c r="M90" i="4" s="1"/>
  <c r="G90" i="4"/>
  <c r="F90" i="4"/>
  <c r="C90" i="4"/>
  <c r="Z89" i="4"/>
  <c r="Y89" i="4"/>
  <c r="X89" i="4"/>
  <c r="W89" i="4"/>
  <c r="V89" i="4"/>
  <c r="T89" i="4"/>
  <c r="S89" i="4"/>
  <c r="R89" i="4"/>
  <c r="P89" i="4"/>
  <c r="O89" i="4"/>
  <c r="N89" i="4"/>
  <c r="L89" i="4"/>
  <c r="K89" i="4"/>
  <c r="J89" i="4"/>
  <c r="I89" i="4"/>
  <c r="H89" i="4"/>
  <c r="M89" i="4" s="1"/>
  <c r="G89" i="4"/>
  <c r="F89" i="4"/>
  <c r="C89" i="4"/>
  <c r="Z88" i="4"/>
  <c r="Y88" i="4"/>
  <c r="X88" i="4"/>
  <c r="W88" i="4"/>
  <c r="V88" i="4"/>
  <c r="T88" i="4"/>
  <c r="S88" i="4"/>
  <c r="R88" i="4"/>
  <c r="P88" i="4"/>
  <c r="O88" i="4"/>
  <c r="N88" i="4"/>
  <c r="L88" i="4"/>
  <c r="K88" i="4"/>
  <c r="J88" i="4"/>
  <c r="I88" i="4"/>
  <c r="H88" i="4"/>
  <c r="M88" i="4" s="1"/>
  <c r="G88" i="4"/>
  <c r="F88" i="4"/>
  <c r="C88" i="4"/>
  <c r="Z87" i="4"/>
  <c r="Y87" i="4"/>
  <c r="X87" i="4"/>
  <c r="W87" i="4"/>
  <c r="V87" i="4"/>
  <c r="T87" i="4"/>
  <c r="S87" i="4"/>
  <c r="R87" i="4"/>
  <c r="P87" i="4"/>
  <c r="O87" i="4"/>
  <c r="N87" i="4"/>
  <c r="L87" i="4"/>
  <c r="K87" i="4"/>
  <c r="J87" i="4"/>
  <c r="I87" i="4"/>
  <c r="H87" i="4"/>
  <c r="M87" i="4" s="1"/>
  <c r="G87" i="4"/>
  <c r="F87" i="4"/>
  <c r="C87" i="4"/>
  <c r="Z86" i="4"/>
  <c r="Y86" i="4"/>
  <c r="X86" i="4"/>
  <c r="W86" i="4"/>
  <c r="V86" i="4"/>
  <c r="T86" i="4"/>
  <c r="S86" i="4"/>
  <c r="R86" i="4"/>
  <c r="P86" i="4"/>
  <c r="O86" i="4"/>
  <c r="N86" i="4"/>
  <c r="L86" i="4"/>
  <c r="K86" i="4"/>
  <c r="J86" i="4"/>
  <c r="I86" i="4"/>
  <c r="H86" i="4"/>
  <c r="M86" i="4" s="1"/>
  <c r="G86" i="4"/>
  <c r="F86" i="4"/>
  <c r="C86" i="4"/>
  <c r="Z85" i="4"/>
  <c r="Y85" i="4"/>
  <c r="X85" i="4"/>
  <c r="W85" i="4"/>
  <c r="V85" i="4"/>
  <c r="T85" i="4"/>
  <c r="S85" i="4"/>
  <c r="R85" i="4"/>
  <c r="P85" i="4"/>
  <c r="O85" i="4"/>
  <c r="N85" i="4"/>
  <c r="L85" i="4"/>
  <c r="K85" i="4"/>
  <c r="J85" i="4"/>
  <c r="I85" i="4"/>
  <c r="H85" i="4"/>
  <c r="M85" i="4" s="1"/>
  <c r="G85" i="4"/>
  <c r="F85" i="4"/>
  <c r="C85" i="4"/>
  <c r="Z84" i="4"/>
  <c r="Y84" i="4"/>
  <c r="X84" i="4"/>
  <c r="W84" i="4"/>
  <c r="V84" i="4"/>
  <c r="T84" i="4"/>
  <c r="S84" i="4"/>
  <c r="R84" i="4"/>
  <c r="P84" i="4"/>
  <c r="O84" i="4"/>
  <c r="N84" i="4"/>
  <c r="L84" i="4"/>
  <c r="K84" i="4"/>
  <c r="J84" i="4"/>
  <c r="I84" i="4"/>
  <c r="H84" i="4"/>
  <c r="M84" i="4" s="1"/>
  <c r="G84" i="4"/>
  <c r="F84" i="4"/>
  <c r="C84" i="4"/>
  <c r="Z83" i="4"/>
  <c r="Y83" i="4"/>
  <c r="X83" i="4"/>
  <c r="W83" i="4"/>
  <c r="V83" i="4"/>
  <c r="T83" i="4"/>
  <c r="S83" i="4"/>
  <c r="R83" i="4"/>
  <c r="P83" i="4"/>
  <c r="O83" i="4"/>
  <c r="N83" i="4"/>
  <c r="L83" i="4"/>
  <c r="K83" i="4"/>
  <c r="J83" i="4"/>
  <c r="I83" i="4"/>
  <c r="H83" i="4"/>
  <c r="M83" i="4" s="1"/>
  <c r="G83" i="4"/>
  <c r="F83" i="4"/>
  <c r="C83" i="4"/>
  <c r="Z81" i="4"/>
  <c r="Y81" i="4"/>
  <c r="X81" i="4"/>
  <c r="W81" i="4"/>
  <c r="V81" i="4"/>
  <c r="T81" i="4"/>
  <c r="S81" i="4"/>
  <c r="R81" i="4"/>
  <c r="P81" i="4"/>
  <c r="O81" i="4"/>
  <c r="N81" i="4"/>
  <c r="L81" i="4"/>
  <c r="K81" i="4"/>
  <c r="J81" i="4"/>
  <c r="I81" i="4"/>
  <c r="H81" i="4"/>
  <c r="M81" i="4" s="1"/>
  <c r="G81" i="4"/>
  <c r="F81" i="4"/>
  <c r="C81" i="4"/>
  <c r="Z80" i="4"/>
  <c r="Y80" i="4"/>
  <c r="X80" i="4"/>
  <c r="W80" i="4"/>
  <c r="V80" i="4"/>
  <c r="T80" i="4"/>
  <c r="S80" i="4"/>
  <c r="R80" i="4"/>
  <c r="P80" i="4"/>
  <c r="O80" i="4"/>
  <c r="N80" i="4"/>
  <c r="L80" i="4"/>
  <c r="K80" i="4"/>
  <c r="J80" i="4"/>
  <c r="I80" i="4"/>
  <c r="H80" i="4"/>
  <c r="M80" i="4" s="1"/>
  <c r="G80" i="4"/>
  <c r="F80" i="4"/>
  <c r="C80" i="4"/>
  <c r="Z79" i="4"/>
  <c r="Y79" i="4"/>
  <c r="X79" i="4"/>
  <c r="W79" i="4"/>
  <c r="V79" i="4"/>
  <c r="T79" i="4"/>
  <c r="S79" i="4"/>
  <c r="R79" i="4"/>
  <c r="P79" i="4"/>
  <c r="O79" i="4"/>
  <c r="N79" i="4"/>
  <c r="L79" i="4"/>
  <c r="K79" i="4"/>
  <c r="J79" i="4"/>
  <c r="I79" i="4"/>
  <c r="H79" i="4"/>
  <c r="M79" i="4" s="1"/>
  <c r="G79" i="4"/>
  <c r="F79" i="4"/>
  <c r="C79" i="4"/>
  <c r="Z78" i="4"/>
  <c r="Y78" i="4"/>
  <c r="X78" i="4"/>
  <c r="W78" i="4"/>
  <c r="V78" i="4"/>
  <c r="T78" i="4"/>
  <c r="S78" i="4"/>
  <c r="R78" i="4"/>
  <c r="P78" i="4"/>
  <c r="O78" i="4"/>
  <c r="N78" i="4"/>
  <c r="L78" i="4"/>
  <c r="K78" i="4"/>
  <c r="J78" i="4"/>
  <c r="I78" i="4"/>
  <c r="H78" i="4"/>
  <c r="M78" i="4" s="1"/>
  <c r="G78" i="4"/>
  <c r="F78" i="4"/>
  <c r="C78" i="4"/>
  <c r="Z77" i="4"/>
  <c r="Y77" i="4"/>
  <c r="X77" i="4"/>
  <c r="W77" i="4"/>
  <c r="V77" i="4"/>
  <c r="T77" i="4"/>
  <c r="S77" i="4"/>
  <c r="R77" i="4"/>
  <c r="P77" i="4"/>
  <c r="O77" i="4"/>
  <c r="N77" i="4"/>
  <c r="L77" i="4"/>
  <c r="K77" i="4"/>
  <c r="J77" i="4"/>
  <c r="I77" i="4"/>
  <c r="H77" i="4"/>
  <c r="M77" i="4" s="1"/>
  <c r="G77" i="4"/>
  <c r="F77" i="4"/>
  <c r="C77" i="4"/>
  <c r="Z76" i="4"/>
  <c r="Y76" i="4"/>
  <c r="X76" i="4"/>
  <c r="W76" i="4"/>
  <c r="V76" i="4"/>
  <c r="T76" i="4"/>
  <c r="S76" i="4"/>
  <c r="R76" i="4"/>
  <c r="P76" i="4"/>
  <c r="O76" i="4"/>
  <c r="N76" i="4"/>
  <c r="L76" i="4"/>
  <c r="K76" i="4"/>
  <c r="J76" i="4"/>
  <c r="I76" i="4"/>
  <c r="H76" i="4"/>
  <c r="M76" i="4" s="1"/>
  <c r="G76" i="4"/>
  <c r="F76" i="4"/>
  <c r="C76" i="4"/>
  <c r="Z75" i="4"/>
  <c r="Y75" i="4"/>
  <c r="X75" i="4"/>
  <c r="W75" i="4"/>
  <c r="V75" i="4"/>
  <c r="T75" i="4"/>
  <c r="S75" i="4"/>
  <c r="R75" i="4"/>
  <c r="P75" i="4"/>
  <c r="O75" i="4"/>
  <c r="N75" i="4"/>
  <c r="L75" i="4"/>
  <c r="K75" i="4"/>
  <c r="J75" i="4"/>
  <c r="I75" i="4"/>
  <c r="H75" i="4"/>
  <c r="M75" i="4" s="1"/>
  <c r="G75" i="4"/>
  <c r="F75" i="4"/>
  <c r="C75" i="4"/>
  <c r="Z74" i="4"/>
  <c r="Y74" i="4"/>
  <c r="X74" i="4"/>
  <c r="W74" i="4"/>
  <c r="V74" i="4"/>
  <c r="T74" i="4"/>
  <c r="S74" i="4"/>
  <c r="R74" i="4"/>
  <c r="P74" i="4"/>
  <c r="O74" i="4"/>
  <c r="N74" i="4"/>
  <c r="L74" i="4"/>
  <c r="K74" i="4"/>
  <c r="J74" i="4"/>
  <c r="I74" i="4"/>
  <c r="H74" i="4"/>
  <c r="M74" i="4" s="1"/>
  <c r="G74" i="4"/>
  <c r="F74" i="4"/>
  <c r="C74" i="4"/>
  <c r="Z73" i="4"/>
  <c r="Y73" i="4"/>
  <c r="X73" i="4"/>
  <c r="W73" i="4"/>
  <c r="V73" i="4"/>
  <c r="T73" i="4"/>
  <c r="S73" i="4"/>
  <c r="R73" i="4"/>
  <c r="P73" i="4"/>
  <c r="O73" i="4"/>
  <c r="N73" i="4"/>
  <c r="L73" i="4"/>
  <c r="K73" i="4"/>
  <c r="J73" i="4"/>
  <c r="I73" i="4"/>
  <c r="H73" i="4"/>
  <c r="M73" i="4" s="1"/>
  <c r="G73" i="4"/>
  <c r="F73" i="4"/>
  <c r="C73" i="4"/>
  <c r="Z72" i="4"/>
  <c r="Y72" i="4"/>
  <c r="X72" i="4"/>
  <c r="W72" i="4"/>
  <c r="V72" i="4"/>
  <c r="T72" i="4"/>
  <c r="S72" i="4"/>
  <c r="R72" i="4"/>
  <c r="P72" i="4"/>
  <c r="O72" i="4"/>
  <c r="N72" i="4"/>
  <c r="L72" i="4"/>
  <c r="K72" i="4"/>
  <c r="J72" i="4"/>
  <c r="I72" i="4"/>
  <c r="H72" i="4"/>
  <c r="M72" i="4" s="1"/>
  <c r="G72" i="4"/>
  <c r="F72" i="4"/>
  <c r="C72" i="4"/>
  <c r="Z71" i="4"/>
  <c r="Y71" i="4"/>
  <c r="X71" i="4"/>
  <c r="W71" i="4"/>
  <c r="V71" i="4"/>
  <c r="T71" i="4"/>
  <c r="S71" i="4"/>
  <c r="R71" i="4"/>
  <c r="P71" i="4"/>
  <c r="O71" i="4"/>
  <c r="N71" i="4"/>
  <c r="L71" i="4"/>
  <c r="K71" i="4"/>
  <c r="J71" i="4"/>
  <c r="I71" i="4"/>
  <c r="H71" i="4"/>
  <c r="M71" i="4" s="1"/>
  <c r="G71" i="4"/>
  <c r="F71" i="4"/>
  <c r="C71" i="4"/>
  <c r="Z70" i="4"/>
  <c r="Y70" i="4"/>
  <c r="X70" i="4"/>
  <c r="W70" i="4"/>
  <c r="V70" i="4"/>
  <c r="T70" i="4"/>
  <c r="S70" i="4"/>
  <c r="R70" i="4"/>
  <c r="P70" i="4"/>
  <c r="O70" i="4"/>
  <c r="N70" i="4"/>
  <c r="L70" i="4"/>
  <c r="K70" i="4"/>
  <c r="J70" i="4"/>
  <c r="I70" i="4"/>
  <c r="H70" i="4"/>
  <c r="M70" i="4" s="1"/>
  <c r="G70" i="4"/>
  <c r="F70" i="4"/>
  <c r="C70" i="4"/>
  <c r="Z69" i="4"/>
  <c r="Y69" i="4"/>
  <c r="X69" i="4"/>
  <c r="W69" i="4"/>
  <c r="V69" i="4"/>
  <c r="T69" i="4"/>
  <c r="S69" i="4"/>
  <c r="R69" i="4"/>
  <c r="P69" i="4"/>
  <c r="O69" i="4"/>
  <c r="N69" i="4"/>
  <c r="L69" i="4"/>
  <c r="K69" i="4"/>
  <c r="J69" i="4"/>
  <c r="I69" i="4"/>
  <c r="H69" i="4"/>
  <c r="M69" i="4" s="1"/>
  <c r="G69" i="4"/>
  <c r="F69" i="4"/>
  <c r="C69" i="4"/>
  <c r="Z68" i="4"/>
  <c r="Y68" i="4"/>
  <c r="X68" i="4"/>
  <c r="W68" i="4"/>
  <c r="V68" i="4"/>
  <c r="T68" i="4"/>
  <c r="S68" i="4"/>
  <c r="R68" i="4"/>
  <c r="P68" i="4"/>
  <c r="O68" i="4"/>
  <c r="N68" i="4"/>
  <c r="L68" i="4"/>
  <c r="K68" i="4"/>
  <c r="J68" i="4"/>
  <c r="I68" i="4"/>
  <c r="H68" i="4"/>
  <c r="M68" i="4" s="1"/>
  <c r="G68" i="4"/>
  <c r="F68" i="4"/>
  <c r="C68" i="4"/>
  <c r="Z67" i="4"/>
  <c r="Y67" i="4"/>
  <c r="X67" i="4"/>
  <c r="W67" i="4"/>
  <c r="V67" i="4"/>
  <c r="T67" i="4"/>
  <c r="S67" i="4"/>
  <c r="R67" i="4"/>
  <c r="P67" i="4"/>
  <c r="O67" i="4"/>
  <c r="N67" i="4"/>
  <c r="L67" i="4"/>
  <c r="K67" i="4"/>
  <c r="J67" i="4"/>
  <c r="I67" i="4"/>
  <c r="H67" i="4"/>
  <c r="M67" i="4" s="1"/>
  <c r="G67" i="4"/>
  <c r="F67" i="4"/>
  <c r="C67" i="4"/>
  <c r="Z66" i="4"/>
  <c r="Y66" i="4"/>
  <c r="X66" i="4"/>
  <c r="W66" i="4"/>
  <c r="V66" i="4"/>
  <c r="T66" i="4"/>
  <c r="S66" i="4"/>
  <c r="R66" i="4"/>
  <c r="P66" i="4"/>
  <c r="O66" i="4"/>
  <c r="N66" i="4"/>
  <c r="L66" i="4"/>
  <c r="K66" i="4"/>
  <c r="J66" i="4"/>
  <c r="I66" i="4"/>
  <c r="H66" i="4"/>
  <c r="M66" i="4" s="1"/>
  <c r="G66" i="4"/>
  <c r="F66" i="4"/>
  <c r="C66" i="4"/>
  <c r="Z65" i="4"/>
  <c r="Y65" i="4"/>
  <c r="X65" i="4"/>
  <c r="W65" i="4"/>
  <c r="V65" i="4"/>
  <c r="T65" i="4"/>
  <c r="S65" i="4"/>
  <c r="R65" i="4"/>
  <c r="P65" i="4"/>
  <c r="O65" i="4"/>
  <c r="N65" i="4"/>
  <c r="L65" i="4"/>
  <c r="K65" i="4"/>
  <c r="J65" i="4"/>
  <c r="I65" i="4"/>
  <c r="H65" i="4"/>
  <c r="M65" i="4" s="1"/>
  <c r="G65" i="4"/>
  <c r="F65" i="4"/>
  <c r="C65" i="4"/>
  <c r="Z64" i="4"/>
  <c r="Y64" i="4"/>
  <c r="X64" i="4"/>
  <c r="W64" i="4"/>
  <c r="V64" i="4"/>
  <c r="T64" i="4"/>
  <c r="S64" i="4"/>
  <c r="R64" i="4"/>
  <c r="P64" i="4"/>
  <c r="O64" i="4"/>
  <c r="N64" i="4"/>
  <c r="L64" i="4"/>
  <c r="K64" i="4"/>
  <c r="J64" i="4"/>
  <c r="I64" i="4"/>
  <c r="H64" i="4"/>
  <c r="M64" i="4" s="1"/>
  <c r="G64" i="4"/>
  <c r="F64" i="4"/>
  <c r="C64" i="4"/>
  <c r="Z62" i="4"/>
  <c r="Y62" i="4"/>
  <c r="X62" i="4"/>
  <c r="W62" i="4"/>
  <c r="V62" i="4"/>
  <c r="T62" i="4"/>
  <c r="S62" i="4"/>
  <c r="R62" i="4"/>
  <c r="P62" i="4"/>
  <c r="O62" i="4"/>
  <c r="N62" i="4"/>
  <c r="L62" i="4"/>
  <c r="K62" i="4"/>
  <c r="J62" i="4"/>
  <c r="I62" i="4"/>
  <c r="H62" i="4"/>
  <c r="M62" i="4" s="1"/>
  <c r="G62" i="4"/>
  <c r="F62" i="4"/>
  <c r="C62" i="4"/>
  <c r="Z61" i="4"/>
  <c r="Y61" i="4"/>
  <c r="X61" i="4"/>
  <c r="W61" i="4"/>
  <c r="V61" i="4"/>
  <c r="T61" i="4"/>
  <c r="S61" i="4"/>
  <c r="R61" i="4"/>
  <c r="P61" i="4"/>
  <c r="O61" i="4"/>
  <c r="N61" i="4"/>
  <c r="L61" i="4"/>
  <c r="K61" i="4"/>
  <c r="J61" i="4"/>
  <c r="I61" i="4"/>
  <c r="H61" i="4"/>
  <c r="M61" i="4" s="1"/>
  <c r="G61" i="4"/>
  <c r="F61" i="4"/>
  <c r="C61" i="4"/>
  <c r="Z60" i="4"/>
  <c r="Y60" i="4"/>
  <c r="X60" i="4"/>
  <c r="W60" i="4"/>
  <c r="V60" i="4"/>
  <c r="T60" i="4"/>
  <c r="S60" i="4"/>
  <c r="R60" i="4"/>
  <c r="P60" i="4"/>
  <c r="O60" i="4"/>
  <c r="N60" i="4"/>
  <c r="L60" i="4"/>
  <c r="K60" i="4"/>
  <c r="J60" i="4"/>
  <c r="I60" i="4"/>
  <c r="H60" i="4"/>
  <c r="M60" i="4" s="1"/>
  <c r="G60" i="4"/>
  <c r="F60" i="4"/>
  <c r="C60" i="4"/>
  <c r="Z59" i="4"/>
  <c r="Y59" i="4"/>
  <c r="X59" i="4"/>
  <c r="W59" i="4"/>
  <c r="V59" i="4"/>
  <c r="T59" i="4"/>
  <c r="S59" i="4"/>
  <c r="P59" i="4"/>
  <c r="O59" i="4"/>
  <c r="N59" i="4"/>
  <c r="M59" i="4"/>
  <c r="L59" i="4"/>
  <c r="K59" i="4"/>
  <c r="J59" i="4"/>
  <c r="I59" i="4"/>
  <c r="H59" i="4"/>
  <c r="G59" i="4"/>
  <c r="F59" i="4"/>
  <c r="C59" i="4"/>
  <c r="Z58" i="4"/>
  <c r="Y58" i="4"/>
  <c r="X58" i="4"/>
  <c r="W58" i="4"/>
  <c r="T58" i="4"/>
  <c r="S58" i="4"/>
  <c r="R58" i="4"/>
  <c r="V58" i="4" s="1"/>
  <c r="P58" i="4"/>
  <c r="O58" i="4"/>
  <c r="N58" i="4"/>
  <c r="M58" i="4"/>
  <c r="L58" i="4"/>
  <c r="K58" i="4"/>
  <c r="J58" i="4"/>
  <c r="I58" i="4"/>
  <c r="H58" i="4"/>
  <c r="G58" i="4"/>
  <c r="F58" i="4"/>
  <c r="C58" i="4"/>
  <c r="Z57" i="4"/>
  <c r="Y57" i="4"/>
  <c r="X57" i="4"/>
  <c r="W57" i="4"/>
  <c r="T57" i="4"/>
  <c r="S57" i="4"/>
  <c r="R57" i="4"/>
  <c r="V57" i="4" s="1"/>
  <c r="P57" i="4"/>
  <c r="O57" i="4"/>
  <c r="N57" i="4"/>
  <c r="M57" i="4"/>
  <c r="L57" i="4"/>
  <c r="K57" i="4"/>
  <c r="J57" i="4"/>
  <c r="I57" i="4"/>
  <c r="H57" i="4"/>
  <c r="G57" i="4"/>
  <c r="F57" i="4"/>
  <c r="C57" i="4"/>
  <c r="Z56" i="4"/>
  <c r="Y56" i="4"/>
  <c r="X56" i="4"/>
  <c r="W56" i="4"/>
  <c r="T56" i="4"/>
  <c r="S56" i="4"/>
  <c r="R56" i="4"/>
  <c r="V56" i="4" s="1"/>
  <c r="P56" i="4"/>
  <c r="O56" i="4"/>
  <c r="N56" i="4"/>
  <c r="M56" i="4"/>
  <c r="L56" i="4"/>
  <c r="K56" i="4"/>
  <c r="J56" i="4"/>
  <c r="I56" i="4"/>
  <c r="H56" i="4"/>
  <c r="G56" i="4"/>
  <c r="F56" i="4"/>
  <c r="C56" i="4"/>
  <c r="Z55" i="4"/>
  <c r="Y55" i="4"/>
  <c r="X55" i="4"/>
  <c r="W55" i="4"/>
  <c r="T55" i="4"/>
  <c r="S55" i="4"/>
  <c r="R55" i="4"/>
  <c r="V55" i="4" s="1"/>
  <c r="P55" i="4"/>
  <c r="O55" i="4"/>
  <c r="N55" i="4"/>
  <c r="M55" i="4"/>
  <c r="L55" i="4"/>
  <c r="K55" i="4"/>
  <c r="J55" i="4"/>
  <c r="I55" i="4"/>
  <c r="H55" i="4"/>
  <c r="G55" i="4"/>
  <c r="F55" i="4"/>
  <c r="C55" i="4"/>
  <c r="Z54" i="4"/>
  <c r="Y54" i="4"/>
  <c r="X54" i="4"/>
  <c r="W54" i="4"/>
  <c r="T54" i="4"/>
  <c r="S54" i="4"/>
  <c r="R54" i="4"/>
  <c r="V54" i="4" s="1"/>
  <c r="P54" i="4"/>
  <c r="O54" i="4"/>
  <c r="N54" i="4"/>
  <c r="M54" i="4"/>
  <c r="L54" i="4"/>
  <c r="K54" i="4"/>
  <c r="J54" i="4"/>
  <c r="I54" i="4"/>
  <c r="H54" i="4"/>
  <c r="G54" i="4"/>
  <c r="F54" i="4"/>
  <c r="C54" i="4"/>
  <c r="Z53" i="4"/>
  <c r="Y53" i="4"/>
  <c r="X53" i="4"/>
  <c r="W53" i="4"/>
  <c r="T53" i="4"/>
  <c r="S53" i="4"/>
  <c r="R53" i="4"/>
  <c r="V53" i="4" s="1"/>
  <c r="P53" i="4"/>
  <c r="O53" i="4"/>
  <c r="N53" i="4"/>
  <c r="M53" i="4"/>
  <c r="L53" i="4"/>
  <c r="K53" i="4"/>
  <c r="J53" i="4"/>
  <c r="I53" i="4"/>
  <c r="H53" i="4"/>
  <c r="G53" i="4"/>
  <c r="F53" i="4"/>
  <c r="C53" i="4"/>
  <c r="Z52" i="4"/>
  <c r="Y52" i="4"/>
  <c r="X52" i="4"/>
  <c r="W52" i="4"/>
  <c r="T52" i="4"/>
  <c r="S52" i="4"/>
  <c r="R52" i="4"/>
  <c r="V52" i="4" s="1"/>
  <c r="P52" i="4"/>
  <c r="O52" i="4"/>
  <c r="N52" i="4"/>
  <c r="M52" i="4"/>
  <c r="L52" i="4"/>
  <c r="K52" i="4"/>
  <c r="J52" i="4"/>
  <c r="I52" i="4"/>
  <c r="H52" i="4"/>
  <c r="G52" i="4"/>
  <c r="F52" i="4"/>
  <c r="C52" i="4"/>
  <c r="Z51" i="4"/>
  <c r="Y51" i="4"/>
  <c r="X51" i="4"/>
  <c r="W51" i="4"/>
  <c r="T51" i="4"/>
  <c r="S51" i="4"/>
  <c r="R51" i="4"/>
  <c r="V51" i="4" s="1"/>
  <c r="P51" i="4"/>
  <c r="O51" i="4"/>
  <c r="N51" i="4"/>
  <c r="M51" i="4"/>
  <c r="L51" i="4"/>
  <c r="K51" i="4"/>
  <c r="J51" i="4"/>
  <c r="I51" i="4"/>
  <c r="H51" i="4"/>
  <c r="G51" i="4"/>
  <c r="F51" i="4"/>
  <c r="C51" i="4"/>
  <c r="Z50" i="4"/>
  <c r="Y50" i="4"/>
  <c r="X50" i="4"/>
  <c r="W50" i="4"/>
  <c r="T50" i="4"/>
  <c r="S50" i="4"/>
  <c r="R50" i="4"/>
  <c r="V50" i="4" s="1"/>
  <c r="P50" i="4"/>
  <c r="O50" i="4"/>
  <c r="N50" i="4"/>
  <c r="M50" i="4"/>
  <c r="L50" i="4"/>
  <c r="K50" i="4"/>
  <c r="J50" i="4"/>
  <c r="I50" i="4"/>
  <c r="H50" i="4"/>
  <c r="G50" i="4"/>
  <c r="F50" i="4"/>
  <c r="C50" i="4"/>
  <c r="Z49" i="4"/>
  <c r="Y49" i="4"/>
  <c r="X49" i="4"/>
  <c r="W49" i="4"/>
  <c r="T49" i="4"/>
  <c r="S49" i="4"/>
  <c r="R49" i="4"/>
  <c r="V49" i="4" s="1"/>
  <c r="P49" i="4"/>
  <c r="O49" i="4"/>
  <c r="N49" i="4"/>
  <c r="M49" i="4"/>
  <c r="L49" i="4"/>
  <c r="K49" i="4"/>
  <c r="J49" i="4"/>
  <c r="I49" i="4"/>
  <c r="H49" i="4"/>
  <c r="G49" i="4"/>
  <c r="F49" i="4"/>
  <c r="C49" i="4"/>
  <c r="Z48" i="4"/>
  <c r="Y48" i="4"/>
  <c r="X48" i="4"/>
  <c r="W48" i="4"/>
  <c r="T48" i="4"/>
  <c r="S48" i="4"/>
  <c r="R48" i="4"/>
  <c r="V48" i="4" s="1"/>
  <c r="P48" i="4"/>
  <c r="O48" i="4"/>
  <c r="N48" i="4"/>
  <c r="M48" i="4"/>
  <c r="L48" i="4"/>
  <c r="K48" i="4"/>
  <c r="J48" i="4"/>
  <c r="I48" i="4"/>
  <c r="H48" i="4"/>
  <c r="G48" i="4"/>
  <c r="F48" i="4"/>
  <c r="C48" i="4"/>
  <c r="Z47" i="4"/>
  <c r="Y47" i="4"/>
  <c r="X47" i="4"/>
  <c r="W47" i="4"/>
  <c r="T47" i="4"/>
  <c r="S47" i="4"/>
  <c r="R47" i="4"/>
  <c r="V47" i="4" s="1"/>
  <c r="P47" i="4"/>
  <c r="O47" i="4"/>
  <c r="N47" i="4"/>
  <c r="M47" i="4"/>
  <c r="L47" i="4"/>
  <c r="K47" i="4"/>
  <c r="J47" i="4"/>
  <c r="I47" i="4"/>
  <c r="H47" i="4"/>
  <c r="G47" i="4"/>
  <c r="F47" i="4"/>
  <c r="C47" i="4"/>
  <c r="Z46" i="4"/>
  <c r="Y46" i="4"/>
  <c r="X46" i="4"/>
  <c r="W46" i="4"/>
  <c r="T46" i="4"/>
  <c r="S46" i="4"/>
  <c r="R46" i="4"/>
  <c r="V46" i="4" s="1"/>
  <c r="P46" i="4"/>
  <c r="O46" i="4"/>
  <c r="N46" i="4"/>
  <c r="M46" i="4"/>
  <c r="L46" i="4"/>
  <c r="K46" i="4"/>
  <c r="J46" i="4"/>
  <c r="I46" i="4"/>
  <c r="H46" i="4"/>
  <c r="G46" i="4"/>
  <c r="F46" i="4"/>
  <c r="C46" i="4"/>
  <c r="Z44" i="4"/>
  <c r="Y44" i="4"/>
  <c r="X44" i="4"/>
  <c r="W44" i="4"/>
  <c r="T44" i="4"/>
  <c r="S44" i="4"/>
  <c r="R44" i="4"/>
  <c r="V44" i="4" s="1"/>
  <c r="P44" i="4"/>
  <c r="O44" i="4"/>
  <c r="N44" i="4"/>
  <c r="M44" i="4"/>
  <c r="L44" i="4"/>
  <c r="K44" i="4"/>
  <c r="J44" i="4"/>
  <c r="I44" i="4"/>
  <c r="H44" i="4"/>
  <c r="G44" i="4"/>
  <c r="F44" i="4"/>
  <c r="C44" i="4"/>
  <c r="Z43" i="4"/>
  <c r="Y43" i="4"/>
  <c r="X43" i="4"/>
  <c r="W43" i="4"/>
  <c r="T43" i="4"/>
  <c r="S43" i="4"/>
  <c r="R43" i="4"/>
  <c r="V43" i="4" s="1"/>
  <c r="P43" i="4"/>
  <c r="O43" i="4"/>
  <c r="N43" i="4"/>
  <c r="M43" i="4"/>
  <c r="L43" i="4"/>
  <c r="K43" i="4"/>
  <c r="J43" i="4"/>
  <c r="I43" i="4"/>
  <c r="H43" i="4"/>
  <c r="G43" i="4"/>
  <c r="F43" i="4"/>
  <c r="C43" i="4"/>
  <c r="Z42" i="4"/>
  <c r="Y42" i="4"/>
  <c r="X42" i="4"/>
  <c r="W42" i="4"/>
  <c r="T42" i="4"/>
  <c r="S42" i="4"/>
  <c r="R42" i="4"/>
  <c r="V42" i="4" s="1"/>
  <c r="P42" i="4"/>
  <c r="O42" i="4"/>
  <c r="N42" i="4"/>
  <c r="M42" i="4"/>
  <c r="L42" i="4"/>
  <c r="K42" i="4"/>
  <c r="J42" i="4"/>
  <c r="I42" i="4"/>
  <c r="H42" i="4"/>
  <c r="G42" i="4"/>
  <c r="F42" i="4"/>
  <c r="C42" i="4"/>
  <c r="Z41" i="4"/>
  <c r="Y41" i="4"/>
  <c r="X41" i="4"/>
  <c r="W41" i="4"/>
  <c r="T41" i="4"/>
  <c r="S41" i="4"/>
  <c r="R41" i="4"/>
  <c r="V41" i="4" s="1"/>
  <c r="P41" i="4"/>
  <c r="O41" i="4"/>
  <c r="N41" i="4"/>
  <c r="M41" i="4"/>
  <c r="L41" i="4"/>
  <c r="K41" i="4"/>
  <c r="J41" i="4"/>
  <c r="I41" i="4"/>
  <c r="H41" i="4"/>
  <c r="G41" i="4"/>
  <c r="F41" i="4"/>
  <c r="C41" i="4"/>
  <c r="Z40" i="4"/>
  <c r="Y40" i="4"/>
  <c r="X40" i="4"/>
  <c r="W40" i="4"/>
  <c r="T40" i="4"/>
  <c r="S40" i="4"/>
  <c r="R40" i="4"/>
  <c r="V40" i="4" s="1"/>
  <c r="P40" i="4"/>
  <c r="O40" i="4"/>
  <c r="N40" i="4"/>
  <c r="M40" i="4"/>
  <c r="L40" i="4"/>
  <c r="K40" i="4"/>
  <c r="J40" i="4"/>
  <c r="I40" i="4"/>
  <c r="H40" i="4"/>
  <c r="G40" i="4"/>
  <c r="F40" i="4"/>
  <c r="C40" i="4"/>
  <c r="Z39" i="4"/>
  <c r="Y39" i="4"/>
  <c r="X39" i="4"/>
  <c r="W39" i="4"/>
  <c r="T39" i="4"/>
  <c r="S39" i="4"/>
  <c r="R39" i="4"/>
  <c r="V39" i="4" s="1"/>
  <c r="P39" i="4"/>
  <c r="O39" i="4"/>
  <c r="N39" i="4"/>
  <c r="L39" i="4"/>
  <c r="K39" i="4"/>
  <c r="M39" i="4" s="1"/>
  <c r="J39" i="4"/>
  <c r="I39" i="4"/>
  <c r="H39" i="4"/>
  <c r="G39" i="4"/>
  <c r="F39" i="4"/>
  <c r="C39" i="4"/>
  <c r="Z38" i="4"/>
  <c r="Y38" i="4"/>
  <c r="X38" i="4"/>
  <c r="W38" i="4"/>
  <c r="T38" i="4"/>
  <c r="S38" i="4"/>
  <c r="R38" i="4"/>
  <c r="V38" i="4" s="1"/>
  <c r="P38" i="4"/>
  <c r="O38" i="4"/>
  <c r="N38" i="4"/>
  <c r="L38" i="4"/>
  <c r="K38" i="4"/>
  <c r="M38" i="4" s="1"/>
  <c r="J38" i="4"/>
  <c r="I38" i="4"/>
  <c r="H38" i="4"/>
  <c r="G38" i="4"/>
  <c r="F38" i="4"/>
  <c r="C38" i="4"/>
  <c r="Z37" i="4"/>
  <c r="Y37" i="4"/>
  <c r="X37" i="4"/>
  <c r="W37" i="4"/>
  <c r="T37" i="4"/>
  <c r="S37" i="4"/>
  <c r="R37" i="4"/>
  <c r="V37" i="4" s="1"/>
  <c r="P37" i="4"/>
  <c r="O37" i="4"/>
  <c r="N37" i="4"/>
  <c r="M37" i="4"/>
  <c r="L37" i="4"/>
  <c r="K37" i="4"/>
  <c r="J37" i="4"/>
  <c r="I37" i="4"/>
  <c r="H37" i="4"/>
  <c r="G37" i="4"/>
  <c r="F37" i="4"/>
  <c r="C37" i="4"/>
  <c r="Z36" i="4"/>
  <c r="Y36" i="4"/>
  <c r="X36" i="4"/>
  <c r="W36" i="4"/>
  <c r="T36" i="4"/>
  <c r="S36" i="4"/>
  <c r="R36" i="4"/>
  <c r="V36" i="4" s="1"/>
  <c r="P36" i="4"/>
  <c r="O36" i="4"/>
  <c r="N36" i="4"/>
  <c r="M36" i="4"/>
  <c r="L36" i="4"/>
  <c r="K36" i="4"/>
  <c r="J36" i="4"/>
  <c r="I36" i="4"/>
  <c r="H36" i="4"/>
  <c r="G36" i="4"/>
  <c r="F36" i="4"/>
  <c r="C36" i="4"/>
  <c r="Z35" i="4"/>
  <c r="Y35" i="4"/>
  <c r="X35" i="4"/>
  <c r="W35" i="4"/>
  <c r="T35" i="4"/>
  <c r="S35" i="4"/>
  <c r="R35" i="4"/>
  <c r="V35" i="4" s="1"/>
  <c r="P35" i="4"/>
  <c r="O35" i="4"/>
  <c r="N35" i="4"/>
  <c r="L35" i="4"/>
  <c r="K35" i="4"/>
  <c r="M35" i="4" s="1"/>
  <c r="J35" i="4"/>
  <c r="I35" i="4"/>
  <c r="H35" i="4"/>
  <c r="G35" i="4"/>
  <c r="F35" i="4"/>
  <c r="C35" i="4"/>
  <c r="Z34" i="4"/>
  <c r="Y34" i="4"/>
  <c r="X34" i="4"/>
  <c r="W34" i="4"/>
  <c r="T34" i="4"/>
  <c r="S34" i="4"/>
  <c r="R34" i="4"/>
  <c r="V34" i="4" s="1"/>
  <c r="P34" i="4"/>
  <c r="O34" i="4"/>
  <c r="N34" i="4"/>
  <c r="L34" i="4"/>
  <c r="K34" i="4"/>
  <c r="M34" i="4" s="1"/>
  <c r="J34" i="4"/>
  <c r="I34" i="4"/>
  <c r="H34" i="4"/>
  <c r="G34" i="4"/>
  <c r="F34" i="4"/>
  <c r="C34" i="4"/>
  <c r="Z33" i="4"/>
  <c r="Y33" i="4"/>
  <c r="X33" i="4"/>
  <c r="W33" i="4"/>
  <c r="T33" i="4"/>
  <c r="S33" i="4"/>
  <c r="R33" i="4"/>
  <c r="V33" i="4" s="1"/>
  <c r="P33" i="4"/>
  <c r="O33" i="4"/>
  <c r="N33" i="4"/>
  <c r="M33" i="4"/>
  <c r="L33" i="4"/>
  <c r="K33" i="4"/>
  <c r="J33" i="4"/>
  <c r="I33" i="4"/>
  <c r="H33" i="4"/>
  <c r="G33" i="4"/>
  <c r="F33" i="4"/>
  <c r="C33" i="4"/>
  <c r="Z32" i="4"/>
  <c r="Y32" i="4"/>
  <c r="X32" i="4"/>
  <c r="W32" i="4"/>
  <c r="T32" i="4"/>
  <c r="S32" i="4"/>
  <c r="R32" i="4"/>
  <c r="V32" i="4" s="1"/>
  <c r="P32" i="4"/>
  <c r="O32" i="4"/>
  <c r="N32" i="4"/>
  <c r="M32" i="4"/>
  <c r="L32" i="4"/>
  <c r="K32" i="4"/>
  <c r="J32" i="4"/>
  <c r="I32" i="4"/>
  <c r="H32" i="4"/>
  <c r="G32" i="4"/>
  <c r="F32" i="4"/>
  <c r="C32" i="4"/>
  <c r="X31" i="4"/>
  <c r="W31" i="4"/>
  <c r="T31" i="4"/>
  <c r="S31" i="4"/>
  <c r="R31" i="4"/>
  <c r="V31" i="4" s="1"/>
  <c r="P31" i="4"/>
  <c r="O31" i="4"/>
  <c r="N31" i="4"/>
  <c r="M31" i="4"/>
  <c r="L31" i="4"/>
  <c r="K31" i="4"/>
  <c r="J31" i="4"/>
  <c r="I31" i="4"/>
  <c r="H31" i="4"/>
  <c r="G31" i="4"/>
  <c r="F31" i="4"/>
  <c r="C31" i="4"/>
  <c r="X30" i="4"/>
  <c r="W30" i="4"/>
  <c r="T30" i="4"/>
  <c r="S30" i="4"/>
  <c r="R30" i="4"/>
  <c r="V30" i="4" s="1"/>
  <c r="P30" i="4"/>
  <c r="O30" i="4"/>
  <c r="N30" i="4"/>
  <c r="L30" i="4"/>
  <c r="K30" i="4"/>
  <c r="M30" i="4" s="1"/>
  <c r="J30" i="4"/>
  <c r="I30" i="4"/>
  <c r="H30" i="4"/>
  <c r="G30" i="4"/>
  <c r="F30" i="4"/>
  <c r="C30" i="4"/>
  <c r="Z29" i="4"/>
  <c r="Y29" i="4"/>
  <c r="X29" i="4"/>
  <c r="W29" i="4"/>
  <c r="T29" i="4"/>
  <c r="S29" i="4"/>
  <c r="R29" i="4"/>
  <c r="V29" i="4" s="1"/>
  <c r="P29" i="4"/>
  <c r="O29" i="4"/>
  <c r="N29" i="4"/>
  <c r="M29" i="4"/>
  <c r="L29" i="4"/>
  <c r="K29" i="4"/>
  <c r="J29" i="4"/>
  <c r="I29" i="4"/>
  <c r="H29" i="4"/>
  <c r="G29" i="4"/>
  <c r="F29" i="4"/>
  <c r="C29" i="4"/>
  <c r="Z28" i="4"/>
  <c r="Y28" i="4"/>
  <c r="X28" i="4"/>
  <c r="W28" i="4"/>
  <c r="T28" i="4"/>
  <c r="S28" i="4"/>
  <c r="R28" i="4"/>
  <c r="V28" i="4" s="1"/>
  <c r="P28" i="4"/>
  <c r="O28" i="4"/>
  <c r="N28" i="4"/>
  <c r="M28" i="4"/>
  <c r="L28" i="4"/>
  <c r="K28" i="4"/>
  <c r="J28" i="4"/>
  <c r="I28" i="4"/>
  <c r="H28" i="4"/>
  <c r="G28" i="4"/>
  <c r="F28" i="4"/>
  <c r="C28" i="4"/>
  <c r="Z27" i="4"/>
  <c r="Y27" i="4"/>
  <c r="X27" i="4"/>
  <c r="W27" i="4"/>
  <c r="T27" i="4"/>
  <c r="S27" i="4"/>
  <c r="R27" i="4"/>
  <c r="V27" i="4" s="1"/>
  <c r="P27" i="4"/>
  <c r="O27" i="4"/>
  <c r="N27" i="4"/>
  <c r="L27" i="4"/>
  <c r="K27" i="4"/>
  <c r="M27" i="4" s="1"/>
  <c r="J27" i="4"/>
  <c r="I27" i="4"/>
  <c r="H27" i="4"/>
  <c r="G27" i="4"/>
  <c r="F27" i="4"/>
  <c r="C27" i="4"/>
  <c r="Z26" i="4"/>
  <c r="Y26" i="4"/>
  <c r="X26" i="4"/>
  <c r="W26" i="4"/>
  <c r="T26" i="4"/>
  <c r="S26" i="4"/>
  <c r="R26" i="4"/>
  <c r="V26" i="4" s="1"/>
  <c r="P26" i="4"/>
  <c r="O26" i="4"/>
  <c r="N26" i="4"/>
  <c r="L26" i="4"/>
  <c r="K26" i="4"/>
  <c r="M26" i="4" s="1"/>
  <c r="J26" i="4"/>
  <c r="I26" i="4"/>
  <c r="H26" i="4"/>
  <c r="G26" i="4"/>
  <c r="F26" i="4"/>
  <c r="C26" i="4"/>
  <c r="Z25" i="4"/>
  <c r="Y25" i="4"/>
  <c r="X25" i="4"/>
  <c r="W25" i="4"/>
  <c r="T25" i="4"/>
  <c r="S25" i="4"/>
  <c r="R25" i="4"/>
  <c r="V25" i="4" s="1"/>
  <c r="P25" i="4"/>
  <c r="O25" i="4"/>
  <c r="N25" i="4"/>
  <c r="M25" i="4"/>
  <c r="L25" i="4"/>
  <c r="K25" i="4"/>
  <c r="J25" i="4"/>
  <c r="I25" i="4"/>
  <c r="H25" i="4"/>
  <c r="G25" i="4"/>
  <c r="F25" i="4"/>
  <c r="C25" i="4"/>
  <c r="Z24" i="4"/>
  <c r="Y24" i="4"/>
  <c r="X24" i="4"/>
  <c r="W24" i="4"/>
  <c r="T24" i="4"/>
  <c r="S24" i="4"/>
  <c r="R24" i="4"/>
  <c r="V24" i="4" s="1"/>
  <c r="P24" i="4"/>
  <c r="O24" i="4"/>
  <c r="N24" i="4"/>
  <c r="M24" i="4"/>
  <c r="L24" i="4"/>
  <c r="K24" i="4"/>
  <c r="J24" i="4"/>
  <c r="I24" i="4"/>
  <c r="H24" i="4"/>
  <c r="G24" i="4"/>
  <c r="F24" i="4"/>
  <c r="C24" i="4"/>
  <c r="Z23" i="4"/>
  <c r="Y23" i="4"/>
  <c r="X23" i="4"/>
  <c r="W23" i="4"/>
  <c r="T23" i="4"/>
  <c r="S23" i="4"/>
  <c r="R23" i="4"/>
  <c r="V23" i="4" s="1"/>
  <c r="P23" i="4"/>
  <c r="O23" i="4"/>
  <c r="N23" i="4"/>
  <c r="L23" i="4"/>
  <c r="K23" i="4"/>
  <c r="M23" i="4" s="1"/>
  <c r="J23" i="4"/>
  <c r="I23" i="4"/>
  <c r="H23" i="4"/>
  <c r="G23" i="4"/>
  <c r="F23" i="4"/>
  <c r="C23" i="4"/>
  <c r="Z22" i="4"/>
  <c r="Y22" i="4"/>
  <c r="X22" i="4"/>
  <c r="W22" i="4"/>
  <c r="T22" i="4"/>
  <c r="S22" i="4"/>
  <c r="R22" i="4"/>
  <c r="V22" i="4" s="1"/>
  <c r="P22" i="4"/>
  <c r="O22" i="4"/>
  <c r="N22" i="4"/>
  <c r="L22" i="4"/>
  <c r="K22" i="4"/>
  <c r="M22" i="4" s="1"/>
  <c r="J22" i="4"/>
  <c r="I22" i="4"/>
  <c r="H22" i="4"/>
  <c r="G22" i="4"/>
  <c r="F22" i="4"/>
  <c r="C22" i="4"/>
  <c r="Z21" i="4"/>
  <c r="Y21" i="4"/>
  <c r="X21" i="4"/>
  <c r="W21" i="4"/>
  <c r="T21" i="4"/>
  <c r="S21" i="4"/>
  <c r="R21" i="4"/>
  <c r="V21" i="4" s="1"/>
  <c r="P21" i="4"/>
  <c r="O21" i="4"/>
  <c r="N21" i="4"/>
  <c r="M21" i="4"/>
  <c r="L21" i="4"/>
  <c r="K21" i="4"/>
  <c r="J21" i="4"/>
  <c r="I21" i="4"/>
  <c r="H21" i="4"/>
  <c r="G21" i="4"/>
  <c r="F21" i="4"/>
  <c r="C21" i="4"/>
  <c r="Z20" i="4"/>
  <c r="Y20" i="4"/>
  <c r="X20" i="4"/>
  <c r="W20" i="4"/>
  <c r="T20" i="4"/>
  <c r="S20" i="4"/>
  <c r="R20" i="4"/>
  <c r="V20" i="4" s="1"/>
  <c r="P20" i="4"/>
  <c r="O20" i="4"/>
  <c r="N20" i="4"/>
  <c r="L20" i="4"/>
  <c r="K20" i="4"/>
  <c r="J20" i="4"/>
  <c r="I20" i="4"/>
  <c r="H20" i="4"/>
  <c r="M20" i="4" s="1"/>
  <c r="G20" i="4"/>
  <c r="F20" i="4"/>
  <c r="C20" i="4"/>
  <c r="Z19" i="4"/>
  <c r="Y19" i="4"/>
  <c r="X19" i="4"/>
  <c r="W19" i="4"/>
  <c r="V19" i="4"/>
  <c r="T19" i="4"/>
  <c r="S19" i="4"/>
  <c r="R19" i="4"/>
  <c r="P19" i="4"/>
  <c r="O19" i="4"/>
  <c r="N19" i="4"/>
  <c r="L19" i="4"/>
  <c r="K19" i="4"/>
  <c r="J19" i="4"/>
  <c r="I19" i="4"/>
  <c r="H19" i="4"/>
  <c r="M19" i="4" s="1"/>
  <c r="G19" i="4"/>
  <c r="F19" i="4"/>
  <c r="C19" i="4"/>
  <c r="Z18" i="4"/>
  <c r="Y18" i="4"/>
  <c r="X18" i="4"/>
  <c r="W18" i="4"/>
  <c r="V18" i="4"/>
  <c r="T18" i="4"/>
  <c r="S18" i="4"/>
  <c r="R18" i="4"/>
  <c r="P18" i="4"/>
  <c r="O18" i="4"/>
  <c r="N18" i="4"/>
  <c r="L18" i="4"/>
  <c r="K18" i="4"/>
  <c r="J18" i="4"/>
  <c r="I18" i="4"/>
  <c r="H18" i="4"/>
  <c r="M18" i="4" s="1"/>
  <c r="G18" i="4"/>
  <c r="F18" i="4"/>
  <c r="C18" i="4"/>
  <c r="Z17" i="4"/>
  <c r="Y17" i="4"/>
  <c r="X17" i="4"/>
  <c r="W17" i="4"/>
  <c r="V17" i="4"/>
  <c r="T17" i="4"/>
  <c r="S17" i="4"/>
  <c r="R17" i="4"/>
  <c r="P17" i="4"/>
  <c r="O17" i="4"/>
  <c r="N17" i="4"/>
  <c r="L17" i="4"/>
  <c r="K17" i="4"/>
  <c r="J17" i="4"/>
  <c r="I17" i="4"/>
  <c r="H17" i="4"/>
  <c r="M17" i="4" s="1"/>
  <c r="G17" i="4"/>
  <c r="F17" i="4"/>
  <c r="C17" i="4"/>
  <c r="Z16" i="4"/>
  <c r="Y16" i="4"/>
  <c r="X16" i="4"/>
  <c r="W16" i="4"/>
  <c r="V16" i="4"/>
  <c r="T16" i="4"/>
  <c r="S16" i="4"/>
  <c r="R16" i="4"/>
  <c r="P16" i="4"/>
  <c r="O16" i="4"/>
  <c r="N16" i="4"/>
  <c r="L16" i="4"/>
  <c r="K16" i="4"/>
  <c r="J16" i="4"/>
  <c r="I16" i="4"/>
  <c r="H16" i="4"/>
  <c r="M16" i="4" s="1"/>
  <c r="G16" i="4"/>
  <c r="F16" i="4"/>
  <c r="C16" i="4"/>
  <c r="Z15" i="4"/>
  <c r="Y15" i="4"/>
  <c r="X15" i="4"/>
  <c r="W15" i="4"/>
  <c r="V15" i="4"/>
  <c r="T15" i="4"/>
  <c r="S15" i="4"/>
  <c r="R15" i="4"/>
  <c r="P15" i="4"/>
  <c r="O15" i="4"/>
  <c r="N15" i="4"/>
  <c r="L15" i="4"/>
  <c r="K15" i="4"/>
  <c r="J15" i="4"/>
  <c r="I15" i="4"/>
  <c r="H15" i="4"/>
  <c r="M15" i="4" s="1"/>
  <c r="G15" i="4"/>
  <c r="F15" i="4"/>
  <c r="C15" i="4"/>
  <c r="Z14" i="4"/>
  <c r="Y14" i="4"/>
  <c r="X14" i="4"/>
  <c r="W14" i="4"/>
  <c r="V14" i="4"/>
  <c r="T14" i="4"/>
  <c r="S14" i="4"/>
  <c r="R14" i="4"/>
  <c r="P14" i="4"/>
  <c r="O14" i="4"/>
  <c r="N14" i="4"/>
  <c r="L14" i="4"/>
  <c r="K14" i="4"/>
  <c r="J14" i="4"/>
  <c r="I14" i="4"/>
  <c r="H14" i="4"/>
  <c r="M14" i="4" s="1"/>
  <c r="G14" i="4"/>
  <c r="F14" i="4"/>
  <c r="C14" i="4"/>
  <c r="Z13" i="4"/>
  <c r="Y13" i="4"/>
  <c r="X13" i="4"/>
  <c r="W13" i="4"/>
  <c r="V13" i="4"/>
  <c r="T13" i="4"/>
  <c r="S13" i="4"/>
  <c r="R13" i="4"/>
  <c r="P13" i="4"/>
  <c r="O13" i="4"/>
  <c r="N13" i="4"/>
  <c r="L13" i="4"/>
  <c r="K13" i="4"/>
  <c r="J13" i="4"/>
  <c r="I13" i="4"/>
  <c r="H13" i="4"/>
  <c r="M13" i="4" s="1"/>
  <c r="G13" i="4"/>
  <c r="F13" i="4"/>
  <c r="C13" i="4"/>
  <c r="Z12" i="4"/>
  <c r="Y12" i="4"/>
  <c r="X12" i="4"/>
  <c r="W12" i="4"/>
  <c r="V12" i="4"/>
  <c r="T12" i="4"/>
  <c r="S12" i="4"/>
  <c r="R12" i="4"/>
  <c r="P12" i="4"/>
  <c r="O12" i="4"/>
  <c r="N12" i="4"/>
  <c r="L12" i="4"/>
  <c r="K12" i="4"/>
  <c r="J12" i="4"/>
  <c r="I12" i="4"/>
  <c r="H12" i="4"/>
  <c r="M12" i="4" s="1"/>
  <c r="G12" i="4"/>
  <c r="F12" i="4"/>
  <c r="C12" i="4"/>
  <c r="Z8" i="4"/>
  <c r="A8" i="4"/>
  <c r="A235" i="3"/>
  <c r="X227" i="3"/>
  <c r="W227" i="3"/>
  <c r="R227" i="3"/>
  <c r="T227" i="3" s="1"/>
  <c r="P227" i="3"/>
  <c r="O227" i="3"/>
  <c r="N227" i="3"/>
  <c r="L227" i="3"/>
  <c r="K227" i="3"/>
  <c r="J227" i="3"/>
  <c r="I227" i="3"/>
  <c r="H227" i="3"/>
  <c r="G227" i="3"/>
  <c r="M227" i="3" s="1"/>
  <c r="F227" i="3"/>
  <c r="C227" i="3"/>
  <c r="W226" i="3"/>
  <c r="R226" i="3"/>
  <c r="V226" i="3" s="1"/>
  <c r="P226" i="3"/>
  <c r="O226" i="3"/>
  <c r="N226" i="3"/>
  <c r="M226" i="3"/>
  <c r="L226" i="3"/>
  <c r="K226" i="3"/>
  <c r="J226" i="3"/>
  <c r="I226" i="3"/>
  <c r="H226" i="3"/>
  <c r="G226" i="3"/>
  <c r="F226" i="3"/>
  <c r="C226" i="3"/>
  <c r="R225" i="3"/>
  <c r="W225" i="3" s="1"/>
  <c r="P225" i="3"/>
  <c r="O225" i="3"/>
  <c r="N225" i="3"/>
  <c r="M225" i="3"/>
  <c r="L225" i="3"/>
  <c r="K225" i="3"/>
  <c r="J225" i="3"/>
  <c r="I225" i="3"/>
  <c r="H225" i="3"/>
  <c r="G225" i="3"/>
  <c r="F225" i="3"/>
  <c r="C225" i="3"/>
  <c r="W224" i="3"/>
  <c r="V224" i="3"/>
  <c r="T224" i="3"/>
  <c r="R224" i="3"/>
  <c r="X224" i="3" s="1"/>
  <c r="P224" i="3"/>
  <c r="O224" i="3"/>
  <c r="N224" i="3"/>
  <c r="L224" i="3"/>
  <c r="K224" i="3"/>
  <c r="J224" i="3"/>
  <c r="M224" i="3" s="1"/>
  <c r="I224" i="3"/>
  <c r="H224" i="3"/>
  <c r="G224" i="3"/>
  <c r="F224" i="3"/>
  <c r="C224" i="3"/>
  <c r="X223" i="3"/>
  <c r="W223" i="3"/>
  <c r="V223" i="3"/>
  <c r="R223" i="3"/>
  <c r="T223" i="3" s="1"/>
  <c r="P223" i="3"/>
  <c r="O223" i="3"/>
  <c r="N223" i="3"/>
  <c r="L223" i="3"/>
  <c r="K223" i="3"/>
  <c r="J223" i="3"/>
  <c r="I223" i="3"/>
  <c r="H223" i="3"/>
  <c r="G223" i="3"/>
  <c r="M223" i="3" s="1"/>
  <c r="F223" i="3"/>
  <c r="C223" i="3"/>
  <c r="X222" i="3"/>
  <c r="T222" i="3"/>
  <c r="R222" i="3"/>
  <c r="V222" i="3" s="1"/>
  <c r="P222" i="3"/>
  <c r="O222" i="3"/>
  <c r="N222" i="3"/>
  <c r="L222" i="3"/>
  <c r="K222" i="3"/>
  <c r="J222" i="3"/>
  <c r="M222" i="3" s="1"/>
  <c r="I222" i="3"/>
  <c r="H222" i="3"/>
  <c r="G222" i="3"/>
  <c r="F222" i="3"/>
  <c r="C222" i="3"/>
  <c r="X220" i="3"/>
  <c r="W220" i="3"/>
  <c r="V220" i="3"/>
  <c r="U220" i="3"/>
  <c r="T220" i="3"/>
  <c r="R220" i="3"/>
  <c r="P220" i="3"/>
  <c r="O220" i="3"/>
  <c r="N220" i="3"/>
  <c r="L220" i="3"/>
  <c r="K220" i="3"/>
  <c r="J220" i="3"/>
  <c r="I220" i="3"/>
  <c r="H220" i="3"/>
  <c r="G220" i="3"/>
  <c r="F220" i="3"/>
  <c r="C220" i="3"/>
  <c r="X219" i="3"/>
  <c r="W219" i="3"/>
  <c r="V219" i="3"/>
  <c r="U219" i="3"/>
  <c r="T219" i="3"/>
  <c r="R219" i="3"/>
  <c r="P219" i="3"/>
  <c r="O219" i="3"/>
  <c r="N219" i="3"/>
  <c r="M219" i="3"/>
  <c r="L219" i="3"/>
  <c r="K219" i="3"/>
  <c r="J219" i="3"/>
  <c r="I219" i="3"/>
  <c r="H219" i="3"/>
  <c r="G219" i="3"/>
  <c r="F219" i="3"/>
  <c r="C219" i="3"/>
  <c r="X218" i="3"/>
  <c r="W218" i="3"/>
  <c r="V218" i="3"/>
  <c r="U218" i="3"/>
  <c r="T218" i="3"/>
  <c r="R218" i="3"/>
  <c r="P218" i="3"/>
  <c r="O218" i="3"/>
  <c r="N218" i="3"/>
  <c r="L218" i="3"/>
  <c r="K218" i="3"/>
  <c r="J218" i="3"/>
  <c r="M218" i="3" s="1"/>
  <c r="I218" i="3"/>
  <c r="H218" i="3"/>
  <c r="G218" i="3"/>
  <c r="F218" i="3"/>
  <c r="C218" i="3"/>
  <c r="X217" i="3"/>
  <c r="W217" i="3"/>
  <c r="V217" i="3"/>
  <c r="U217" i="3"/>
  <c r="T217" i="3"/>
  <c r="R217" i="3"/>
  <c r="P217" i="3"/>
  <c r="O217" i="3"/>
  <c r="N217" i="3"/>
  <c r="L217" i="3"/>
  <c r="K217" i="3"/>
  <c r="J217" i="3"/>
  <c r="M217" i="3" s="1"/>
  <c r="I217" i="3"/>
  <c r="H217" i="3"/>
  <c r="G217" i="3"/>
  <c r="F217" i="3"/>
  <c r="C217" i="3"/>
  <c r="X216" i="3"/>
  <c r="W216" i="3"/>
  <c r="V216" i="3"/>
  <c r="U216" i="3"/>
  <c r="T216" i="3"/>
  <c r="R216" i="3"/>
  <c r="P216" i="3"/>
  <c r="O216" i="3"/>
  <c r="N216" i="3"/>
  <c r="L216" i="3"/>
  <c r="K216" i="3"/>
  <c r="J216" i="3"/>
  <c r="I216" i="3"/>
  <c r="H216" i="3"/>
  <c r="G216" i="3"/>
  <c r="F216" i="3"/>
  <c r="C216" i="3"/>
  <c r="X215" i="3"/>
  <c r="W215" i="3"/>
  <c r="V215" i="3"/>
  <c r="U215" i="3"/>
  <c r="T215" i="3"/>
  <c r="R215" i="3"/>
  <c r="P215" i="3"/>
  <c r="O215" i="3"/>
  <c r="N215" i="3"/>
  <c r="M215" i="3"/>
  <c r="L215" i="3"/>
  <c r="K215" i="3"/>
  <c r="J215" i="3"/>
  <c r="I215" i="3"/>
  <c r="H215" i="3"/>
  <c r="G215" i="3"/>
  <c r="F215" i="3"/>
  <c r="C215" i="3"/>
  <c r="X214" i="3"/>
  <c r="W214" i="3"/>
  <c r="V214" i="3"/>
  <c r="U214" i="3"/>
  <c r="T214" i="3"/>
  <c r="R214" i="3"/>
  <c r="P214" i="3"/>
  <c r="O214" i="3"/>
  <c r="N214" i="3"/>
  <c r="L214" i="3"/>
  <c r="K214" i="3"/>
  <c r="J214" i="3"/>
  <c r="M214" i="3" s="1"/>
  <c r="I214" i="3"/>
  <c r="H214" i="3"/>
  <c r="G214" i="3"/>
  <c r="F214" i="3"/>
  <c r="C214" i="3"/>
  <c r="X213" i="3"/>
  <c r="W213" i="3"/>
  <c r="V213" i="3"/>
  <c r="U213" i="3"/>
  <c r="T213" i="3"/>
  <c r="R213" i="3"/>
  <c r="P213" i="3"/>
  <c r="O213" i="3"/>
  <c r="N213" i="3"/>
  <c r="L213" i="3"/>
  <c r="K213" i="3"/>
  <c r="J213" i="3"/>
  <c r="M213" i="3" s="1"/>
  <c r="I213" i="3"/>
  <c r="H213" i="3"/>
  <c r="G213" i="3"/>
  <c r="F213" i="3"/>
  <c r="C213" i="3"/>
  <c r="X212" i="3"/>
  <c r="W212" i="3"/>
  <c r="V212" i="3"/>
  <c r="U212" i="3"/>
  <c r="T212" i="3"/>
  <c r="R212" i="3"/>
  <c r="P212" i="3"/>
  <c r="O212" i="3"/>
  <c r="N212" i="3"/>
  <c r="L212" i="3"/>
  <c r="K212" i="3"/>
  <c r="J212" i="3"/>
  <c r="M212" i="3" s="1"/>
  <c r="I212" i="3"/>
  <c r="H212" i="3"/>
  <c r="G212" i="3"/>
  <c r="F212" i="3"/>
  <c r="C212" i="3"/>
  <c r="X211" i="3"/>
  <c r="W211" i="3"/>
  <c r="V211" i="3"/>
  <c r="U211" i="3"/>
  <c r="T211" i="3"/>
  <c r="R211" i="3"/>
  <c r="P211" i="3"/>
  <c r="O211" i="3"/>
  <c r="N211" i="3"/>
  <c r="L211" i="3"/>
  <c r="K211" i="3"/>
  <c r="J211" i="3"/>
  <c r="M211" i="3" s="1"/>
  <c r="I211" i="3"/>
  <c r="H211" i="3"/>
  <c r="G211" i="3"/>
  <c r="F211" i="3"/>
  <c r="C211" i="3"/>
  <c r="X210" i="3"/>
  <c r="W210" i="3"/>
  <c r="V210" i="3"/>
  <c r="U210" i="3"/>
  <c r="T210" i="3"/>
  <c r="R210" i="3"/>
  <c r="P210" i="3"/>
  <c r="O210" i="3"/>
  <c r="N210" i="3"/>
  <c r="L210" i="3"/>
  <c r="K210" i="3"/>
  <c r="J210" i="3"/>
  <c r="M210" i="3" s="1"/>
  <c r="I210" i="3"/>
  <c r="H210" i="3"/>
  <c r="G210" i="3"/>
  <c r="F210" i="3"/>
  <c r="C210" i="3"/>
  <c r="X209" i="3"/>
  <c r="W209" i="3"/>
  <c r="V209" i="3"/>
  <c r="U209" i="3"/>
  <c r="T209" i="3"/>
  <c r="R209" i="3"/>
  <c r="P209" i="3"/>
  <c r="O209" i="3"/>
  <c r="N209" i="3"/>
  <c r="L209" i="3"/>
  <c r="K209" i="3"/>
  <c r="J209" i="3"/>
  <c r="M209" i="3" s="1"/>
  <c r="I209" i="3"/>
  <c r="H209" i="3"/>
  <c r="G209" i="3"/>
  <c r="F209" i="3"/>
  <c r="C209" i="3"/>
  <c r="X208" i="3"/>
  <c r="W208" i="3"/>
  <c r="V208" i="3"/>
  <c r="U208" i="3"/>
  <c r="T208" i="3"/>
  <c r="R208" i="3"/>
  <c r="P208" i="3"/>
  <c r="O208" i="3"/>
  <c r="N208" i="3"/>
  <c r="L208" i="3"/>
  <c r="K208" i="3"/>
  <c r="J208" i="3"/>
  <c r="M208" i="3" s="1"/>
  <c r="I208" i="3"/>
  <c r="H208" i="3"/>
  <c r="G208" i="3"/>
  <c r="F208" i="3"/>
  <c r="C208" i="3"/>
  <c r="X207" i="3"/>
  <c r="W207" i="3"/>
  <c r="V207" i="3"/>
  <c r="U207" i="3"/>
  <c r="T207" i="3"/>
  <c r="R207" i="3"/>
  <c r="P207" i="3"/>
  <c r="O207" i="3"/>
  <c r="N207" i="3"/>
  <c r="L207" i="3"/>
  <c r="K207" i="3"/>
  <c r="J207" i="3"/>
  <c r="M207" i="3" s="1"/>
  <c r="I207" i="3"/>
  <c r="H207" i="3"/>
  <c r="G207" i="3"/>
  <c r="F207" i="3"/>
  <c r="C207" i="3"/>
  <c r="X206" i="3"/>
  <c r="W206" i="3"/>
  <c r="V206" i="3"/>
  <c r="U206" i="3"/>
  <c r="T206" i="3"/>
  <c r="R206" i="3"/>
  <c r="P206" i="3"/>
  <c r="O206" i="3"/>
  <c r="N206" i="3"/>
  <c r="L206" i="3"/>
  <c r="K206" i="3"/>
  <c r="J206" i="3"/>
  <c r="M206" i="3" s="1"/>
  <c r="I206" i="3"/>
  <c r="H206" i="3"/>
  <c r="G206" i="3"/>
  <c r="F206" i="3"/>
  <c r="C206" i="3"/>
  <c r="X205" i="3"/>
  <c r="W205" i="3"/>
  <c r="V205" i="3"/>
  <c r="U205" i="3"/>
  <c r="T205" i="3"/>
  <c r="R205" i="3"/>
  <c r="P205" i="3"/>
  <c r="O205" i="3"/>
  <c r="N205" i="3"/>
  <c r="L205" i="3"/>
  <c r="K205" i="3"/>
  <c r="J205" i="3"/>
  <c r="M205" i="3" s="1"/>
  <c r="I205" i="3"/>
  <c r="H205" i="3"/>
  <c r="G205" i="3"/>
  <c r="F205" i="3"/>
  <c r="C205" i="3"/>
  <c r="X204" i="3"/>
  <c r="W204" i="3"/>
  <c r="V204" i="3"/>
  <c r="U204" i="3"/>
  <c r="T204" i="3"/>
  <c r="R204" i="3"/>
  <c r="P204" i="3"/>
  <c r="O204" i="3"/>
  <c r="N204" i="3"/>
  <c r="L204" i="3"/>
  <c r="K204" i="3"/>
  <c r="J204" i="3"/>
  <c r="M204" i="3" s="1"/>
  <c r="I204" i="3"/>
  <c r="H204" i="3"/>
  <c r="G204" i="3"/>
  <c r="F204" i="3"/>
  <c r="C204" i="3"/>
  <c r="X203" i="3"/>
  <c r="W203" i="3"/>
  <c r="V203" i="3"/>
  <c r="U203" i="3"/>
  <c r="T203" i="3"/>
  <c r="R203" i="3"/>
  <c r="P203" i="3"/>
  <c r="O203" i="3"/>
  <c r="N203" i="3"/>
  <c r="L203" i="3"/>
  <c r="K203" i="3"/>
  <c r="J203" i="3"/>
  <c r="M203" i="3" s="1"/>
  <c r="I203" i="3"/>
  <c r="H203" i="3"/>
  <c r="G203" i="3"/>
  <c r="F203" i="3"/>
  <c r="C203" i="3"/>
  <c r="X202" i="3"/>
  <c r="W202" i="3"/>
  <c r="V202" i="3"/>
  <c r="U202" i="3"/>
  <c r="T202" i="3"/>
  <c r="R202" i="3"/>
  <c r="P202" i="3"/>
  <c r="O202" i="3"/>
  <c r="N202" i="3"/>
  <c r="L202" i="3"/>
  <c r="K202" i="3"/>
  <c r="J202" i="3"/>
  <c r="M202" i="3" s="1"/>
  <c r="I202" i="3"/>
  <c r="H202" i="3"/>
  <c r="G202" i="3"/>
  <c r="F202" i="3"/>
  <c r="C202" i="3"/>
  <c r="X201" i="3"/>
  <c r="W201" i="3"/>
  <c r="V201" i="3"/>
  <c r="U201" i="3"/>
  <c r="T201" i="3"/>
  <c r="R201" i="3"/>
  <c r="P201" i="3"/>
  <c r="O201" i="3"/>
  <c r="N201" i="3"/>
  <c r="L201" i="3"/>
  <c r="K201" i="3"/>
  <c r="J201" i="3"/>
  <c r="M201" i="3" s="1"/>
  <c r="I201" i="3"/>
  <c r="H201" i="3"/>
  <c r="G201" i="3"/>
  <c r="F201" i="3"/>
  <c r="C201" i="3"/>
  <c r="X200" i="3"/>
  <c r="W200" i="3"/>
  <c r="V200" i="3"/>
  <c r="U200" i="3"/>
  <c r="T200" i="3"/>
  <c r="R200" i="3"/>
  <c r="P200" i="3"/>
  <c r="O200" i="3"/>
  <c r="N200" i="3"/>
  <c r="L200" i="3"/>
  <c r="K200" i="3"/>
  <c r="J200" i="3"/>
  <c r="M200" i="3" s="1"/>
  <c r="I200" i="3"/>
  <c r="H200" i="3"/>
  <c r="G200" i="3"/>
  <c r="F200" i="3"/>
  <c r="C200" i="3"/>
  <c r="X199" i="3"/>
  <c r="W199" i="3"/>
  <c r="V199" i="3"/>
  <c r="U199" i="3"/>
  <c r="T199" i="3"/>
  <c r="R199" i="3"/>
  <c r="P199" i="3"/>
  <c r="O199" i="3"/>
  <c r="N199" i="3"/>
  <c r="L199" i="3"/>
  <c r="K199" i="3"/>
  <c r="J199" i="3"/>
  <c r="M199" i="3" s="1"/>
  <c r="I199" i="3"/>
  <c r="H199" i="3"/>
  <c r="G199" i="3"/>
  <c r="F199" i="3"/>
  <c r="C199" i="3"/>
  <c r="X198" i="3"/>
  <c r="W198" i="3"/>
  <c r="V198" i="3"/>
  <c r="U198" i="3"/>
  <c r="T198" i="3"/>
  <c r="R198" i="3"/>
  <c r="P198" i="3"/>
  <c r="O198" i="3"/>
  <c r="N198" i="3"/>
  <c r="L198" i="3"/>
  <c r="K198" i="3"/>
  <c r="J198" i="3"/>
  <c r="M198" i="3" s="1"/>
  <c r="I198" i="3"/>
  <c r="H198" i="3"/>
  <c r="G198" i="3"/>
  <c r="F198" i="3"/>
  <c r="C198" i="3"/>
  <c r="X197" i="3"/>
  <c r="W197" i="3"/>
  <c r="V197" i="3"/>
  <c r="U197" i="3"/>
  <c r="T197" i="3"/>
  <c r="R197" i="3"/>
  <c r="P197" i="3"/>
  <c r="O197" i="3"/>
  <c r="N197" i="3"/>
  <c r="L197" i="3"/>
  <c r="K197" i="3"/>
  <c r="J197" i="3"/>
  <c r="M197" i="3" s="1"/>
  <c r="I197" i="3"/>
  <c r="H197" i="3"/>
  <c r="G197" i="3"/>
  <c r="F197" i="3"/>
  <c r="C197" i="3"/>
  <c r="X196" i="3"/>
  <c r="W196" i="3"/>
  <c r="V196" i="3"/>
  <c r="U196" i="3"/>
  <c r="T196" i="3"/>
  <c r="R196" i="3"/>
  <c r="P196" i="3"/>
  <c r="O196" i="3"/>
  <c r="N196" i="3"/>
  <c r="L196" i="3"/>
  <c r="K196" i="3"/>
  <c r="J196" i="3"/>
  <c r="M196" i="3" s="1"/>
  <c r="I196" i="3"/>
  <c r="H196" i="3"/>
  <c r="G196" i="3"/>
  <c r="F196" i="3"/>
  <c r="C196" i="3"/>
  <c r="X194" i="3"/>
  <c r="W194" i="3"/>
  <c r="V194" i="3"/>
  <c r="U194" i="3"/>
  <c r="T194" i="3"/>
  <c r="R194" i="3"/>
  <c r="P194" i="3"/>
  <c r="O194" i="3"/>
  <c r="N194" i="3"/>
  <c r="L194" i="3"/>
  <c r="K194" i="3"/>
  <c r="J194" i="3"/>
  <c r="M194" i="3" s="1"/>
  <c r="I194" i="3"/>
  <c r="H194" i="3"/>
  <c r="G194" i="3"/>
  <c r="F194" i="3"/>
  <c r="C194" i="3"/>
  <c r="X193" i="3"/>
  <c r="W193" i="3"/>
  <c r="V193" i="3"/>
  <c r="U193" i="3"/>
  <c r="T193" i="3"/>
  <c r="R193" i="3"/>
  <c r="P193" i="3"/>
  <c r="O193" i="3"/>
  <c r="N193" i="3"/>
  <c r="L193" i="3"/>
  <c r="K193" i="3"/>
  <c r="J193" i="3"/>
  <c r="M193" i="3" s="1"/>
  <c r="I193" i="3"/>
  <c r="H193" i="3"/>
  <c r="G193" i="3"/>
  <c r="F193" i="3"/>
  <c r="C193" i="3"/>
  <c r="X192" i="3"/>
  <c r="W192" i="3"/>
  <c r="V192" i="3"/>
  <c r="U192" i="3"/>
  <c r="T192" i="3"/>
  <c r="R192" i="3"/>
  <c r="P192" i="3"/>
  <c r="O192" i="3"/>
  <c r="N192" i="3"/>
  <c r="L192" i="3"/>
  <c r="K192" i="3"/>
  <c r="J192" i="3"/>
  <c r="M192" i="3" s="1"/>
  <c r="I192" i="3"/>
  <c r="H192" i="3"/>
  <c r="G192" i="3"/>
  <c r="F192" i="3"/>
  <c r="C192" i="3"/>
  <c r="X191" i="3"/>
  <c r="W191" i="3"/>
  <c r="V191" i="3"/>
  <c r="U191" i="3"/>
  <c r="T191" i="3"/>
  <c r="R191" i="3"/>
  <c r="P191" i="3"/>
  <c r="O191" i="3"/>
  <c r="N191" i="3"/>
  <c r="L191" i="3"/>
  <c r="K191" i="3"/>
  <c r="J191" i="3"/>
  <c r="M191" i="3" s="1"/>
  <c r="I191" i="3"/>
  <c r="H191" i="3"/>
  <c r="G191" i="3"/>
  <c r="F191" i="3"/>
  <c r="C191" i="3"/>
  <c r="X190" i="3"/>
  <c r="W190" i="3"/>
  <c r="V190" i="3"/>
  <c r="U190" i="3"/>
  <c r="T190" i="3"/>
  <c r="R190" i="3"/>
  <c r="P190" i="3"/>
  <c r="O190" i="3"/>
  <c r="N190" i="3"/>
  <c r="L190" i="3"/>
  <c r="K190" i="3"/>
  <c r="J190" i="3"/>
  <c r="M190" i="3" s="1"/>
  <c r="I190" i="3"/>
  <c r="H190" i="3"/>
  <c r="G190" i="3"/>
  <c r="F190" i="3"/>
  <c r="C190" i="3"/>
  <c r="X189" i="3"/>
  <c r="W189" i="3"/>
  <c r="V189" i="3"/>
  <c r="U189" i="3"/>
  <c r="T189" i="3"/>
  <c r="R189" i="3"/>
  <c r="P189" i="3"/>
  <c r="O189" i="3"/>
  <c r="N189" i="3"/>
  <c r="L189" i="3"/>
  <c r="K189" i="3"/>
  <c r="J189" i="3"/>
  <c r="M189" i="3" s="1"/>
  <c r="I189" i="3"/>
  <c r="H189" i="3"/>
  <c r="G189" i="3"/>
  <c r="F189" i="3"/>
  <c r="C189" i="3"/>
  <c r="X188" i="3"/>
  <c r="W188" i="3"/>
  <c r="V188" i="3"/>
  <c r="U188" i="3"/>
  <c r="T188" i="3"/>
  <c r="R188" i="3"/>
  <c r="P188" i="3"/>
  <c r="O188" i="3"/>
  <c r="N188" i="3"/>
  <c r="L188" i="3"/>
  <c r="K188" i="3"/>
  <c r="J188" i="3"/>
  <c r="M188" i="3" s="1"/>
  <c r="I188" i="3"/>
  <c r="H188" i="3"/>
  <c r="G188" i="3"/>
  <c r="F188" i="3"/>
  <c r="C188" i="3"/>
  <c r="X187" i="3"/>
  <c r="W187" i="3"/>
  <c r="V187" i="3"/>
  <c r="U187" i="3"/>
  <c r="T187" i="3"/>
  <c r="R187" i="3"/>
  <c r="P187" i="3"/>
  <c r="O187" i="3"/>
  <c r="N187" i="3"/>
  <c r="L187" i="3"/>
  <c r="K187" i="3"/>
  <c r="J187" i="3"/>
  <c r="M187" i="3" s="1"/>
  <c r="I187" i="3"/>
  <c r="H187" i="3"/>
  <c r="G187" i="3"/>
  <c r="F187" i="3"/>
  <c r="C187" i="3"/>
  <c r="X186" i="3"/>
  <c r="W186" i="3"/>
  <c r="V186" i="3"/>
  <c r="U186" i="3"/>
  <c r="T186" i="3"/>
  <c r="R186" i="3"/>
  <c r="P186" i="3"/>
  <c r="O186" i="3"/>
  <c r="N186" i="3"/>
  <c r="L186" i="3"/>
  <c r="K186" i="3"/>
  <c r="J186" i="3"/>
  <c r="M186" i="3" s="1"/>
  <c r="I186" i="3"/>
  <c r="H186" i="3"/>
  <c r="G186" i="3"/>
  <c r="F186" i="3"/>
  <c r="C186" i="3"/>
  <c r="X185" i="3"/>
  <c r="W185" i="3"/>
  <c r="V185" i="3"/>
  <c r="U185" i="3"/>
  <c r="T185" i="3"/>
  <c r="R185" i="3"/>
  <c r="P185" i="3"/>
  <c r="O185" i="3"/>
  <c r="N185" i="3"/>
  <c r="L185" i="3"/>
  <c r="K185" i="3"/>
  <c r="J185" i="3"/>
  <c r="M185" i="3" s="1"/>
  <c r="I185" i="3"/>
  <c r="H185" i="3"/>
  <c r="G185" i="3"/>
  <c r="F185" i="3"/>
  <c r="C185" i="3"/>
  <c r="X184" i="3"/>
  <c r="W184" i="3"/>
  <c r="V184" i="3"/>
  <c r="U184" i="3"/>
  <c r="T184" i="3"/>
  <c r="R184" i="3"/>
  <c r="P184" i="3"/>
  <c r="O184" i="3"/>
  <c r="N184" i="3"/>
  <c r="L184" i="3"/>
  <c r="K184" i="3"/>
  <c r="J184" i="3"/>
  <c r="M184" i="3" s="1"/>
  <c r="I184" i="3"/>
  <c r="H184" i="3"/>
  <c r="G184" i="3"/>
  <c r="F184" i="3"/>
  <c r="C184" i="3"/>
  <c r="X183" i="3"/>
  <c r="W183" i="3"/>
  <c r="V183" i="3"/>
  <c r="U183" i="3"/>
  <c r="T183" i="3"/>
  <c r="R183" i="3"/>
  <c r="P183" i="3"/>
  <c r="O183" i="3"/>
  <c r="N183" i="3"/>
  <c r="L183" i="3"/>
  <c r="K183" i="3"/>
  <c r="J183" i="3"/>
  <c r="M183" i="3" s="1"/>
  <c r="I183" i="3"/>
  <c r="H183" i="3"/>
  <c r="G183" i="3"/>
  <c r="F183" i="3"/>
  <c r="C183" i="3"/>
  <c r="X182" i="3"/>
  <c r="W182" i="3"/>
  <c r="V182" i="3"/>
  <c r="U182" i="3"/>
  <c r="T182" i="3"/>
  <c r="R182" i="3"/>
  <c r="P182" i="3"/>
  <c r="O182" i="3"/>
  <c r="N182" i="3"/>
  <c r="L182" i="3"/>
  <c r="K182" i="3"/>
  <c r="J182" i="3"/>
  <c r="M182" i="3" s="1"/>
  <c r="I182" i="3"/>
  <c r="H182" i="3"/>
  <c r="G182" i="3"/>
  <c r="F182" i="3"/>
  <c r="C182" i="3"/>
  <c r="X181" i="3"/>
  <c r="W181" i="3"/>
  <c r="V181" i="3"/>
  <c r="U181" i="3"/>
  <c r="T181" i="3"/>
  <c r="R181" i="3"/>
  <c r="P181" i="3"/>
  <c r="O181" i="3"/>
  <c r="N181" i="3"/>
  <c r="L181" i="3"/>
  <c r="K181" i="3"/>
  <c r="J181" i="3"/>
  <c r="M181" i="3" s="1"/>
  <c r="I181" i="3"/>
  <c r="H181" i="3"/>
  <c r="G181" i="3"/>
  <c r="F181" i="3"/>
  <c r="C181" i="3"/>
  <c r="X180" i="3"/>
  <c r="W180" i="3"/>
  <c r="V180" i="3"/>
  <c r="U180" i="3"/>
  <c r="T180" i="3"/>
  <c r="R180" i="3"/>
  <c r="P180" i="3"/>
  <c r="O180" i="3"/>
  <c r="N180" i="3"/>
  <c r="L180" i="3"/>
  <c r="K180" i="3"/>
  <c r="J180" i="3"/>
  <c r="M180" i="3" s="1"/>
  <c r="I180" i="3"/>
  <c r="H180" i="3"/>
  <c r="G180" i="3"/>
  <c r="F180" i="3"/>
  <c r="C180" i="3"/>
  <c r="X179" i="3"/>
  <c r="W179" i="3"/>
  <c r="V179" i="3"/>
  <c r="U179" i="3"/>
  <c r="T179" i="3"/>
  <c r="R179" i="3"/>
  <c r="P179" i="3"/>
  <c r="O179" i="3"/>
  <c r="N179" i="3"/>
  <c r="L179" i="3"/>
  <c r="K179" i="3"/>
  <c r="J179" i="3"/>
  <c r="M179" i="3" s="1"/>
  <c r="I179" i="3"/>
  <c r="H179" i="3"/>
  <c r="G179" i="3"/>
  <c r="F179" i="3"/>
  <c r="C179" i="3"/>
  <c r="X178" i="3"/>
  <c r="W178" i="3"/>
  <c r="V178" i="3"/>
  <c r="U178" i="3"/>
  <c r="T178" i="3"/>
  <c r="R178" i="3"/>
  <c r="P178" i="3"/>
  <c r="O178" i="3"/>
  <c r="N178" i="3"/>
  <c r="L178" i="3"/>
  <c r="K178" i="3"/>
  <c r="J178" i="3"/>
  <c r="M178" i="3" s="1"/>
  <c r="I178" i="3"/>
  <c r="H178" i="3"/>
  <c r="G178" i="3"/>
  <c r="F178" i="3"/>
  <c r="C178" i="3"/>
  <c r="X177" i="3"/>
  <c r="W177" i="3"/>
  <c r="V177" i="3"/>
  <c r="U177" i="3"/>
  <c r="T177" i="3"/>
  <c r="R177" i="3"/>
  <c r="P177" i="3"/>
  <c r="O177" i="3"/>
  <c r="N177" i="3"/>
  <c r="L177" i="3"/>
  <c r="K177" i="3"/>
  <c r="J177" i="3"/>
  <c r="M177" i="3" s="1"/>
  <c r="I177" i="3"/>
  <c r="H177" i="3"/>
  <c r="G177" i="3"/>
  <c r="F177" i="3"/>
  <c r="C177" i="3"/>
  <c r="X176" i="3"/>
  <c r="W176" i="3"/>
  <c r="V176" i="3"/>
  <c r="U176" i="3"/>
  <c r="T176" i="3"/>
  <c r="R176" i="3"/>
  <c r="P176" i="3"/>
  <c r="O176" i="3"/>
  <c r="N176" i="3"/>
  <c r="L176" i="3"/>
  <c r="K176" i="3"/>
  <c r="J176" i="3"/>
  <c r="M176" i="3" s="1"/>
  <c r="I176" i="3"/>
  <c r="H176" i="3"/>
  <c r="G176" i="3"/>
  <c r="F176" i="3"/>
  <c r="C176" i="3"/>
  <c r="X175" i="3"/>
  <c r="W175" i="3"/>
  <c r="V175" i="3"/>
  <c r="U175" i="3"/>
  <c r="T175" i="3"/>
  <c r="R175" i="3"/>
  <c r="P175" i="3"/>
  <c r="O175" i="3"/>
  <c r="N175" i="3"/>
  <c r="L175" i="3"/>
  <c r="K175" i="3"/>
  <c r="J175" i="3"/>
  <c r="M175" i="3" s="1"/>
  <c r="I175" i="3"/>
  <c r="H175" i="3"/>
  <c r="G175" i="3"/>
  <c r="F175" i="3"/>
  <c r="C175" i="3"/>
  <c r="X174" i="3"/>
  <c r="W174" i="3"/>
  <c r="V174" i="3"/>
  <c r="U174" i="3"/>
  <c r="T174" i="3"/>
  <c r="R174" i="3"/>
  <c r="P174" i="3"/>
  <c r="O174" i="3"/>
  <c r="N174" i="3"/>
  <c r="L174" i="3"/>
  <c r="K174" i="3"/>
  <c r="J174" i="3"/>
  <c r="M174" i="3" s="1"/>
  <c r="I174" i="3"/>
  <c r="H174" i="3"/>
  <c r="G174" i="3"/>
  <c r="F174" i="3"/>
  <c r="C174" i="3"/>
  <c r="X172" i="3"/>
  <c r="W172" i="3"/>
  <c r="V172" i="3"/>
  <c r="U172" i="3"/>
  <c r="T172" i="3"/>
  <c r="R172" i="3"/>
  <c r="P172" i="3"/>
  <c r="O172" i="3"/>
  <c r="N172" i="3"/>
  <c r="L172" i="3"/>
  <c r="K172" i="3"/>
  <c r="J172" i="3"/>
  <c r="M172" i="3" s="1"/>
  <c r="I172" i="3"/>
  <c r="H172" i="3"/>
  <c r="G172" i="3"/>
  <c r="F172" i="3"/>
  <c r="C172" i="3"/>
  <c r="X171" i="3"/>
  <c r="W171" i="3"/>
  <c r="V171" i="3"/>
  <c r="U171" i="3"/>
  <c r="T171" i="3"/>
  <c r="R171" i="3"/>
  <c r="P171" i="3"/>
  <c r="O171" i="3"/>
  <c r="N171" i="3"/>
  <c r="L171" i="3"/>
  <c r="K171" i="3"/>
  <c r="J171" i="3"/>
  <c r="M171" i="3" s="1"/>
  <c r="I171" i="3"/>
  <c r="H171" i="3"/>
  <c r="G171" i="3"/>
  <c r="F171" i="3"/>
  <c r="C171" i="3"/>
  <c r="X170" i="3"/>
  <c r="W170" i="3"/>
  <c r="V170" i="3"/>
  <c r="U170" i="3"/>
  <c r="T170" i="3"/>
  <c r="R170" i="3"/>
  <c r="P170" i="3"/>
  <c r="O170" i="3"/>
  <c r="N170" i="3"/>
  <c r="L170" i="3"/>
  <c r="K170" i="3"/>
  <c r="J170" i="3"/>
  <c r="M170" i="3" s="1"/>
  <c r="I170" i="3"/>
  <c r="H170" i="3"/>
  <c r="G170" i="3"/>
  <c r="F170" i="3"/>
  <c r="C170" i="3"/>
  <c r="X169" i="3"/>
  <c r="W169" i="3"/>
  <c r="V169" i="3"/>
  <c r="U169" i="3"/>
  <c r="T169" i="3"/>
  <c r="R169" i="3"/>
  <c r="P169" i="3"/>
  <c r="O169" i="3"/>
  <c r="N169" i="3"/>
  <c r="L169" i="3"/>
  <c r="K169" i="3"/>
  <c r="J169" i="3"/>
  <c r="M169" i="3" s="1"/>
  <c r="I169" i="3"/>
  <c r="H169" i="3"/>
  <c r="G169" i="3"/>
  <c r="F169" i="3"/>
  <c r="C169" i="3"/>
  <c r="X168" i="3"/>
  <c r="W168" i="3"/>
  <c r="V168" i="3"/>
  <c r="U168" i="3"/>
  <c r="T168" i="3"/>
  <c r="R168" i="3"/>
  <c r="P168" i="3"/>
  <c r="O168" i="3"/>
  <c r="N168" i="3"/>
  <c r="L168" i="3"/>
  <c r="K168" i="3"/>
  <c r="J168" i="3"/>
  <c r="M168" i="3" s="1"/>
  <c r="I168" i="3"/>
  <c r="H168" i="3"/>
  <c r="G168" i="3"/>
  <c r="F168" i="3"/>
  <c r="C168" i="3"/>
  <c r="X167" i="3"/>
  <c r="W167" i="3"/>
  <c r="V167" i="3"/>
  <c r="U167" i="3"/>
  <c r="T167" i="3"/>
  <c r="R167" i="3"/>
  <c r="P167" i="3"/>
  <c r="O167" i="3"/>
  <c r="N167" i="3"/>
  <c r="L167" i="3"/>
  <c r="K167" i="3"/>
  <c r="J167" i="3"/>
  <c r="M167" i="3" s="1"/>
  <c r="I167" i="3"/>
  <c r="H167" i="3"/>
  <c r="G167" i="3"/>
  <c r="F167" i="3"/>
  <c r="C167" i="3"/>
  <c r="X166" i="3"/>
  <c r="W166" i="3"/>
  <c r="V166" i="3"/>
  <c r="U166" i="3"/>
  <c r="T166" i="3"/>
  <c r="R166" i="3"/>
  <c r="P166" i="3"/>
  <c r="O166" i="3"/>
  <c r="N166" i="3"/>
  <c r="L166" i="3"/>
  <c r="K166" i="3"/>
  <c r="J166" i="3"/>
  <c r="M166" i="3" s="1"/>
  <c r="I166" i="3"/>
  <c r="H166" i="3"/>
  <c r="G166" i="3"/>
  <c r="F166" i="3"/>
  <c r="C166" i="3"/>
  <c r="X165" i="3"/>
  <c r="W165" i="3"/>
  <c r="V165" i="3"/>
  <c r="U165" i="3"/>
  <c r="T165" i="3"/>
  <c r="R165" i="3"/>
  <c r="P165" i="3"/>
  <c r="O165" i="3"/>
  <c r="N165" i="3"/>
  <c r="L165" i="3"/>
  <c r="K165" i="3"/>
  <c r="J165" i="3"/>
  <c r="M165" i="3" s="1"/>
  <c r="I165" i="3"/>
  <c r="H165" i="3"/>
  <c r="G165" i="3"/>
  <c r="F165" i="3"/>
  <c r="C165" i="3"/>
  <c r="X164" i="3"/>
  <c r="W164" i="3"/>
  <c r="V164" i="3"/>
  <c r="U164" i="3"/>
  <c r="T164" i="3"/>
  <c r="R164" i="3"/>
  <c r="P164" i="3"/>
  <c r="O164" i="3"/>
  <c r="N164" i="3"/>
  <c r="L164" i="3"/>
  <c r="K164" i="3"/>
  <c r="J164" i="3"/>
  <c r="M164" i="3" s="1"/>
  <c r="I164" i="3"/>
  <c r="H164" i="3"/>
  <c r="G164" i="3"/>
  <c r="F164" i="3"/>
  <c r="C164" i="3"/>
  <c r="X163" i="3"/>
  <c r="W163" i="3"/>
  <c r="V163" i="3"/>
  <c r="U163" i="3"/>
  <c r="T163" i="3"/>
  <c r="R163" i="3"/>
  <c r="P163" i="3"/>
  <c r="O163" i="3"/>
  <c r="N163" i="3"/>
  <c r="L163" i="3"/>
  <c r="K163" i="3"/>
  <c r="J163" i="3"/>
  <c r="M163" i="3" s="1"/>
  <c r="I163" i="3"/>
  <c r="H163" i="3"/>
  <c r="G163" i="3"/>
  <c r="F163" i="3"/>
  <c r="C163" i="3"/>
  <c r="X162" i="3"/>
  <c r="W162" i="3"/>
  <c r="V162" i="3"/>
  <c r="U162" i="3"/>
  <c r="T162" i="3"/>
  <c r="R162" i="3"/>
  <c r="P162" i="3"/>
  <c r="O162" i="3"/>
  <c r="N162" i="3"/>
  <c r="L162" i="3"/>
  <c r="K162" i="3"/>
  <c r="J162" i="3"/>
  <c r="M162" i="3" s="1"/>
  <c r="I162" i="3"/>
  <c r="H162" i="3"/>
  <c r="G162" i="3"/>
  <c r="F162" i="3"/>
  <c r="C162" i="3"/>
  <c r="X161" i="3"/>
  <c r="W161" i="3"/>
  <c r="V161" i="3"/>
  <c r="U161" i="3"/>
  <c r="T161" i="3"/>
  <c r="R161" i="3"/>
  <c r="P161" i="3"/>
  <c r="O161" i="3"/>
  <c r="N161" i="3"/>
  <c r="L161" i="3"/>
  <c r="K161" i="3"/>
  <c r="J161" i="3"/>
  <c r="M161" i="3" s="1"/>
  <c r="I161" i="3"/>
  <c r="H161" i="3"/>
  <c r="G161" i="3"/>
  <c r="F161" i="3"/>
  <c r="C161" i="3"/>
  <c r="X160" i="3"/>
  <c r="W160" i="3"/>
  <c r="V160" i="3"/>
  <c r="U160" i="3"/>
  <c r="T160" i="3"/>
  <c r="R160" i="3"/>
  <c r="P160" i="3"/>
  <c r="O160" i="3"/>
  <c r="N160" i="3"/>
  <c r="L160" i="3"/>
  <c r="K160" i="3"/>
  <c r="J160" i="3"/>
  <c r="M160" i="3" s="1"/>
  <c r="I160" i="3"/>
  <c r="H160" i="3"/>
  <c r="G160" i="3"/>
  <c r="F160" i="3"/>
  <c r="C160" i="3"/>
  <c r="X159" i="3"/>
  <c r="W159" i="3"/>
  <c r="V159" i="3"/>
  <c r="U159" i="3"/>
  <c r="T159" i="3"/>
  <c r="R159" i="3"/>
  <c r="P159" i="3"/>
  <c r="O159" i="3"/>
  <c r="N159" i="3"/>
  <c r="L159" i="3"/>
  <c r="K159" i="3"/>
  <c r="J159" i="3"/>
  <c r="M159" i="3" s="1"/>
  <c r="I159" i="3"/>
  <c r="H159" i="3"/>
  <c r="G159" i="3"/>
  <c r="F159" i="3"/>
  <c r="C159" i="3"/>
  <c r="X158" i="3"/>
  <c r="W158" i="3"/>
  <c r="V158" i="3"/>
  <c r="U158" i="3"/>
  <c r="T158" i="3"/>
  <c r="R158" i="3"/>
  <c r="P158" i="3"/>
  <c r="O158" i="3"/>
  <c r="N158" i="3"/>
  <c r="L158" i="3"/>
  <c r="K158" i="3"/>
  <c r="J158" i="3"/>
  <c r="M158" i="3" s="1"/>
  <c r="I158" i="3"/>
  <c r="H158" i="3"/>
  <c r="G158" i="3"/>
  <c r="F158" i="3"/>
  <c r="C158" i="3"/>
  <c r="X157" i="3"/>
  <c r="W157" i="3"/>
  <c r="V157" i="3"/>
  <c r="U157" i="3"/>
  <c r="T157" i="3"/>
  <c r="R157" i="3"/>
  <c r="P157" i="3"/>
  <c r="O157" i="3"/>
  <c r="N157" i="3"/>
  <c r="L157" i="3"/>
  <c r="K157" i="3"/>
  <c r="J157" i="3"/>
  <c r="M157" i="3" s="1"/>
  <c r="I157" i="3"/>
  <c r="H157" i="3"/>
  <c r="G157" i="3"/>
  <c r="F157" i="3"/>
  <c r="C157" i="3"/>
  <c r="X156" i="3"/>
  <c r="W156" i="3"/>
  <c r="V156" i="3"/>
  <c r="U156" i="3"/>
  <c r="T156" i="3"/>
  <c r="R156" i="3"/>
  <c r="P156" i="3"/>
  <c r="O156" i="3"/>
  <c r="N156" i="3"/>
  <c r="L156" i="3"/>
  <c r="K156" i="3"/>
  <c r="J156" i="3"/>
  <c r="M156" i="3" s="1"/>
  <c r="I156" i="3"/>
  <c r="H156" i="3"/>
  <c r="G156" i="3"/>
  <c r="F156" i="3"/>
  <c r="C156" i="3"/>
  <c r="X155" i="3"/>
  <c r="W155" i="3"/>
  <c r="V155" i="3"/>
  <c r="U155" i="3"/>
  <c r="T155" i="3"/>
  <c r="R155" i="3"/>
  <c r="P155" i="3"/>
  <c r="O155" i="3"/>
  <c r="N155" i="3"/>
  <c r="L155" i="3"/>
  <c r="K155" i="3"/>
  <c r="J155" i="3"/>
  <c r="M155" i="3" s="1"/>
  <c r="I155" i="3"/>
  <c r="H155" i="3"/>
  <c r="G155" i="3"/>
  <c r="F155" i="3"/>
  <c r="C155" i="3"/>
  <c r="X154" i="3"/>
  <c r="W154" i="3"/>
  <c r="V154" i="3"/>
  <c r="U154" i="3"/>
  <c r="T154" i="3"/>
  <c r="R154" i="3"/>
  <c r="P154" i="3"/>
  <c r="O154" i="3"/>
  <c r="N154" i="3"/>
  <c r="L154" i="3"/>
  <c r="K154" i="3"/>
  <c r="J154" i="3"/>
  <c r="M154" i="3" s="1"/>
  <c r="I154" i="3"/>
  <c r="H154" i="3"/>
  <c r="G154" i="3"/>
  <c r="F154" i="3"/>
  <c r="C154" i="3"/>
  <c r="X152" i="3"/>
  <c r="W152" i="3"/>
  <c r="V152" i="3"/>
  <c r="U152" i="3"/>
  <c r="T152" i="3"/>
  <c r="R152" i="3"/>
  <c r="P152" i="3"/>
  <c r="O152" i="3"/>
  <c r="N152" i="3"/>
  <c r="L152" i="3"/>
  <c r="K152" i="3"/>
  <c r="J152" i="3"/>
  <c r="M152" i="3" s="1"/>
  <c r="I152" i="3"/>
  <c r="H152" i="3"/>
  <c r="G152" i="3"/>
  <c r="F152" i="3"/>
  <c r="C152" i="3"/>
  <c r="X151" i="3"/>
  <c r="W151" i="3"/>
  <c r="V151" i="3"/>
  <c r="U151" i="3"/>
  <c r="T151" i="3"/>
  <c r="R151" i="3"/>
  <c r="P151" i="3"/>
  <c r="O151" i="3"/>
  <c r="N151" i="3"/>
  <c r="L151" i="3"/>
  <c r="K151" i="3"/>
  <c r="J151" i="3"/>
  <c r="M151" i="3" s="1"/>
  <c r="I151" i="3"/>
  <c r="H151" i="3"/>
  <c r="G151" i="3"/>
  <c r="F151" i="3"/>
  <c r="C151" i="3"/>
  <c r="X150" i="3"/>
  <c r="W150" i="3"/>
  <c r="V150" i="3"/>
  <c r="U150" i="3"/>
  <c r="T150" i="3"/>
  <c r="R150" i="3"/>
  <c r="P150" i="3"/>
  <c r="O150" i="3"/>
  <c r="N150" i="3"/>
  <c r="L150" i="3"/>
  <c r="K150" i="3"/>
  <c r="J150" i="3"/>
  <c r="M150" i="3" s="1"/>
  <c r="I150" i="3"/>
  <c r="H150" i="3"/>
  <c r="G150" i="3"/>
  <c r="F150" i="3"/>
  <c r="C150" i="3"/>
  <c r="X149" i="3"/>
  <c r="W149" i="3"/>
  <c r="V149" i="3"/>
  <c r="U149" i="3"/>
  <c r="T149" i="3"/>
  <c r="R149" i="3"/>
  <c r="P149" i="3"/>
  <c r="O149" i="3"/>
  <c r="N149" i="3"/>
  <c r="L149" i="3"/>
  <c r="K149" i="3"/>
  <c r="J149" i="3"/>
  <c r="M149" i="3" s="1"/>
  <c r="I149" i="3"/>
  <c r="H149" i="3"/>
  <c r="G149" i="3"/>
  <c r="F149" i="3"/>
  <c r="C149" i="3"/>
  <c r="X148" i="3"/>
  <c r="W148" i="3"/>
  <c r="V148" i="3"/>
  <c r="U148" i="3"/>
  <c r="T148" i="3"/>
  <c r="R148" i="3"/>
  <c r="P148" i="3"/>
  <c r="O148" i="3"/>
  <c r="N148" i="3"/>
  <c r="L148" i="3"/>
  <c r="K148" i="3"/>
  <c r="J148" i="3"/>
  <c r="M148" i="3" s="1"/>
  <c r="I148" i="3"/>
  <c r="H148" i="3"/>
  <c r="G148" i="3"/>
  <c r="F148" i="3"/>
  <c r="C148" i="3"/>
  <c r="X147" i="3"/>
  <c r="W147" i="3"/>
  <c r="V147" i="3"/>
  <c r="U147" i="3"/>
  <c r="T147" i="3"/>
  <c r="R147" i="3"/>
  <c r="P147" i="3"/>
  <c r="O147" i="3"/>
  <c r="N147" i="3"/>
  <c r="L147" i="3"/>
  <c r="K147" i="3"/>
  <c r="J147" i="3"/>
  <c r="M147" i="3" s="1"/>
  <c r="I147" i="3"/>
  <c r="H147" i="3"/>
  <c r="G147" i="3"/>
  <c r="F147" i="3"/>
  <c r="C147" i="3"/>
  <c r="X146" i="3"/>
  <c r="W146" i="3"/>
  <c r="V146" i="3"/>
  <c r="U146" i="3"/>
  <c r="T146" i="3"/>
  <c r="R146" i="3"/>
  <c r="P146" i="3"/>
  <c r="O146" i="3"/>
  <c r="N146" i="3"/>
  <c r="L146" i="3"/>
  <c r="K146" i="3"/>
  <c r="J146" i="3"/>
  <c r="M146" i="3" s="1"/>
  <c r="I146" i="3"/>
  <c r="H146" i="3"/>
  <c r="G146" i="3"/>
  <c r="F146" i="3"/>
  <c r="C146" i="3"/>
  <c r="X145" i="3"/>
  <c r="W145" i="3"/>
  <c r="V145" i="3"/>
  <c r="U145" i="3"/>
  <c r="T145" i="3"/>
  <c r="R145" i="3"/>
  <c r="P145" i="3"/>
  <c r="O145" i="3"/>
  <c r="N145" i="3"/>
  <c r="L145" i="3"/>
  <c r="K145" i="3"/>
  <c r="J145" i="3"/>
  <c r="M145" i="3" s="1"/>
  <c r="I145" i="3"/>
  <c r="H145" i="3"/>
  <c r="G145" i="3"/>
  <c r="F145" i="3"/>
  <c r="C145" i="3"/>
  <c r="X144" i="3"/>
  <c r="W144" i="3"/>
  <c r="V144" i="3"/>
  <c r="U144" i="3"/>
  <c r="T144" i="3"/>
  <c r="R144" i="3"/>
  <c r="P144" i="3"/>
  <c r="O144" i="3"/>
  <c r="N144" i="3"/>
  <c r="L144" i="3"/>
  <c r="K144" i="3"/>
  <c r="J144" i="3"/>
  <c r="M144" i="3" s="1"/>
  <c r="I144" i="3"/>
  <c r="H144" i="3"/>
  <c r="G144" i="3"/>
  <c r="F144" i="3"/>
  <c r="C144" i="3"/>
  <c r="X143" i="3"/>
  <c r="W143" i="3"/>
  <c r="V143" i="3"/>
  <c r="U143" i="3"/>
  <c r="T143" i="3"/>
  <c r="R143" i="3"/>
  <c r="P143" i="3"/>
  <c r="O143" i="3"/>
  <c r="N143" i="3"/>
  <c r="L143" i="3"/>
  <c r="K143" i="3"/>
  <c r="J143" i="3"/>
  <c r="M143" i="3" s="1"/>
  <c r="I143" i="3"/>
  <c r="H143" i="3"/>
  <c r="G143" i="3"/>
  <c r="F143" i="3"/>
  <c r="C143" i="3"/>
  <c r="X141" i="3"/>
  <c r="W141" i="3"/>
  <c r="V141" i="3"/>
  <c r="U141" i="3"/>
  <c r="T141" i="3"/>
  <c r="R141" i="3"/>
  <c r="P141" i="3"/>
  <c r="O141" i="3"/>
  <c r="N141" i="3"/>
  <c r="L141" i="3"/>
  <c r="K141" i="3"/>
  <c r="J141" i="3"/>
  <c r="M141" i="3" s="1"/>
  <c r="I141" i="3"/>
  <c r="H141" i="3"/>
  <c r="G141" i="3"/>
  <c r="F141" i="3"/>
  <c r="C141" i="3"/>
  <c r="X140" i="3"/>
  <c r="W140" i="3"/>
  <c r="V140" i="3"/>
  <c r="U140" i="3"/>
  <c r="T140" i="3"/>
  <c r="R140" i="3"/>
  <c r="P140" i="3"/>
  <c r="O140" i="3"/>
  <c r="N140" i="3"/>
  <c r="L140" i="3"/>
  <c r="K140" i="3"/>
  <c r="J140" i="3"/>
  <c r="M140" i="3" s="1"/>
  <c r="I140" i="3"/>
  <c r="H140" i="3"/>
  <c r="G140" i="3"/>
  <c r="F140" i="3"/>
  <c r="C140" i="3"/>
  <c r="X139" i="3"/>
  <c r="W139" i="3"/>
  <c r="V139" i="3"/>
  <c r="U139" i="3"/>
  <c r="T139" i="3"/>
  <c r="R139" i="3"/>
  <c r="P139" i="3"/>
  <c r="O139" i="3"/>
  <c r="N139" i="3"/>
  <c r="L139" i="3"/>
  <c r="K139" i="3"/>
  <c r="J139" i="3"/>
  <c r="M139" i="3" s="1"/>
  <c r="I139" i="3"/>
  <c r="H139" i="3"/>
  <c r="G139" i="3"/>
  <c r="F139" i="3"/>
  <c r="C139" i="3"/>
  <c r="X138" i="3"/>
  <c r="W138" i="3"/>
  <c r="V138" i="3"/>
  <c r="U138" i="3"/>
  <c r="T138" i="3"/>
  <c r="R138" i="3"/>
  <c r="P138" i="3"/>
  <c r="O138" i="3"/>
  <c r="N138" i="3"/>
  <c r="L138" i="3"/>
  <c r="K138" i="3"/>
  <c r="J138" i="3"/>
  <c r="M138" i="3" s="1"/>
  <c r="I138" i="3"/>
  <c r="H138" i="3"/>
  <c r="G138" i="3"/>
  <c r="F138" i="3"/>
  <c r="C138" i="3"/>
  <c r="X137" i="3"/>
  <c r="W137" i="3"/>
  <c r="V137" i="3"/>
  <c r="U137" i="3"/>
  <c r="T137" i="3"/>
  <c r="R137" i="3"/>
  <c r="P137" i="3"/>
  <c r="O137" i="3"/>
  <c r="N137" i="3"/>
  <c r="L137" i="3"/>
  <c r="K137" i="3"/>
  <c r="J137" i="3"/>
  <c r="M137" i="3" s="1"/>
  <c r="I137" i="3"/>
  <c r="H137" i="3"/>
  <c r="G137" i="3"/>
  <c r="F137" i="3"/>
  <c r="C137" i="3"/>
  <c r="X136" i="3"/>
  <c r="W136" i="3"/>
  <c r="V136" i="3"/>
  <c r="U136" i="3"/>
  <c r="T136" i="3"/>
  <c r="R136" i="3"/>
  <c r="P136" i="3"/>
  <c r="O136" i="3"/>
  <c r="N136" i="3"/>
  <c r="L136" i="3"/>
  <c r="K136" i="3"/>
  <c r="J136" i="3"/>
  <c r="M136" i="3" s="1"/>
  <c r="I136" i="3"/>
  <c r="H136" i="3"/>
  <c r="G136" i="3"/>
  <c r="F136" i="3"/>
  <c r="C136" i="3"/>
  <c r="X134" i="3"/>
  <c r="W134" i="3"/>
  <c r="V134" i="3"/>
  <c r="U134" i="3"/>
  <c r="T134" i="3"/>
  <c r="R134" i="3"/>
  <c r="P134" i="3"/>
  <c r="O134" i="3"/>
  <c r="N134" i="3"/>
  <c r="L134" i="3"/>
  <c r="K134" i="3"/>
  <c r="J134" i="3"/>
  <c r="M134" i="3" s="1"/>
  <c r="I134" i="3"/>
  <c r="H134" i="3"/>
  <c r="G134" i="3"/>
  <c r="F134" i="3"/>
  <c r="C134" i="3"/>
  <c r="X133" i="3"/>
  <c r="W133" i="3"/>
  <c r="V133" i="3"/>
  <c r="U133" i="3"/>
  <c r="T133" i="3"/>
  <c r="R133" i="3"/>
  <c r="P133" i="3"/>
  <c r="O133" i="3"/>
  <c r="N133" i="3"/>
  <c r="L133" i="3"/>
  <c r="K133" i="3"/>
  <c r="J133" i="3"/>
  <c r="M133" i="3" s="1"/>
  <c r="I133" i="3"/>
  <c r="H133" i="3"/>
  <c r="G133" i="3"/>
  <c r="F133" i="3"/>
  <c r="C133" i="3"/>
  <c r="X132" i="3"/>
  <c r="W132" i="3"/>
  <c r="V132" i="3"/>
  <c r="U132" i="3"/>
  <c r="T132" i="3"/>
  <c r="R132" i="3"/>
  <c r="P132" i="3"/>
  <c r="O132" i="3"/>
  <c r="N132" i="3"/>
  <c r="L132" i="3"/>
  <c r="K132" i="3"/>
  <c r="J132" i="3"/>
  <c r="M132" i="3" s="1"/>
  <c r="I132" i="3"/>
  <c r="H132" i="3"/>
  <c r="G132" i="3"/>
  <c r="F132" i="3"/>
  <c r="C132" i="3"/>
  <c r="X131" i="3"/>
  <c r="W131" i="3"/>
  <c r="V131" i="3"/>
  <c r="U131" i="3"/>
  <c r="T131" i="3"/>
  <c r="R131" i="3"/>
  <c r="P131" i="3"/>
  <c r="O131" i="3"/>
  <c r="N131" i="3"/>
  <c r="L131" i="3"/>
  <c r="K131" i="3"/>
  <c r="J131" i="3"/>
  <c r="M131" i="3" s="1"/>
  <c r="I131" i="3"/>
  <c r="H131" i="3"/>
  <c r="G131" i="3"/>
  <c r="F131" i="3"/>
  <c r="C131" i="3"/>
  <c r="X130" i="3"/>
  <c r="W130" i="3"/>
  <c r="V130" i="3"/>
  <c r="U130" i="3"/>
  <c r="T130" i="3"/>
  <c r="R130" i="3"/>
  <c r="P130" i="3"/>
  <c r="O130" i="3"/>
  <c r="N130" i="3"/>
  <c r="L130" i="3"/>
  <c r="K130" i="3"/>
  <c r="J130" i="3"/>
  <c r="M130" i="3" s="1"/>
  <c r="I130" i="3"/>
  <c r="H130" i="3"/>
  <c r="G130" i="3"/>
  <c r="F130" i="3"/>
  <c r="C130" i="3"/>
  <c r="X129" i="3"/>
  <c r="W129" i="3"/>
  <c r="V129" i="3"/>
  <c r="U129" i="3"/>
  <c r="T129" i="3"/>
  <c r="R129" i="3"/>
  <c r="P129" i="3"/>
  <c r="O129" i="3"/>
  <c r="N129" i="3"/>
  <c r="L129" i="3"/>
  <c r="K129" i="3"/>
  <c r="J129" i="3"/>
  <c r="M129" i="3" s="1"/>
  <c r="I129" i="3"/>
  <c r="H129" i="3"/>
  <c r="G129" i="3"/>
  <c r="F129" i="3"/>
  <c r="C129" i="3"/>
  <c r="X128" i="3"/>
  <c r="W128" i="3"/>
  <c r="V128" i="3"/>
  <c r="U128" i="3"/>
  <c r="T128" i="3"/>
  <c r="R128" i="3"/>
  <c r="P128" i="3"/>
  <c r="O128" i="3"/>
  <c r="N128" i="3"/>
  <c r="L128" i="3"/>
  <c r="K128" i="3"/>
  <c r="J128" i="3"/>
  <c r="M128" i="3" s="1"/>
  <c r="I128" i="3"/>
  <c r="H128" i="3"/>
  <c r="G128" i="3"/>
  <c r="F128" i="3"/>
  <c r="C128" i="3"/>
  <c r="X127" i="3"/>
  <c r="W127" i="3"/>
  <c r="V127" i="3"/>
  <c r="U127" i="3"/>
  <c r="T127" i="3"/>
  <c r="R127" i="3"/>
  <c r="P127" i="3"/>
  <c r="O127" i="3"/>
  <c r="N127" i="3"/>
  <c r="L127" i="3"/>
  <c r="K127" i="3"/>
  <c r="J127" i="3"/>
  <c r="M127" i="3" s="1"/>
  <c r="I127" i="3"/>
  <c r="H127" i="3"/>
  <c r="G127" i="3"/>
  <c r="F127" i="3"/>
  <c r="C127" i="3"/>
  <c r="X125" i="3"/>
  <c r="W125" i="3"/>
  <c r="V125" i="3"/>
  <c r="U125" i="3"/>
  <c r="T125" i="3"/>
  <c r="R125" i="3"/>
  <c r="P125" i="3"/>
  <c r="O125" i="3"/>
  <c r="N125" i="3"/>
  <c r="L125" i="3"/>
  <c r="K125" i="3"/>
  <c r="J125" i="3"/>
  <c r="M125" i="3" s="1"/>
  <c r="I125" i="3"/>
  <c r="H125" i="3"/>
  <c r="G125" i="3"/>
  <c r="F125" i="3"/>
  <c r="C125" i="3"/>
  <c r="X124" i="3"/>
  <c r="W124" i="3"/>
  <c r="V124" i="3"/>
  <c r="U124" i="3"/>
  <c r="T124" i="3"/>
  <c r="R124" i="3"/>
  <c r="P124" i="3"/>
  <c r="O124" i="3"/>
  <c r="N124" i="3"/>
  <c r="L124" i="3"/>
  <c r="K124" i="3"/>
  <c r="J124" i="3"/>
  <c r="M124" i="3" s="1"/>
  <c r="I124" i="3"/>
  <c r="H124" i="3"/>
  <c r="G124" i="3"/>
  <c r="F124" i="3"/>
  <c r="C124" i="3"/>
  <c r="X123" i="3"/>
  <c r="W123" i="3"/>
  <c r="V123" i="3"/>
  <c r="U123" i="3"/>
  <c r="T123" i="3"/>
  <c r="R123" i="3"/>
  <c r="P123" i="3"/>
  <c r="O123" i="3"/>
  <c r="N123" i="3"/>
  <c r="L123" i="3"/>
  <c r="K123" i="3"/>
  <c r="J123" i="3"/>
  <c r="M123" i="3" s="1"/>
  <c r="I123" i="3"/>
  <c r="H123" i="3"/>
  <c r="G123" i="3"/>
  <c r="F123" i="3"/>
  <c r="C123" i="3"/>
  <c r="X122" i="3"/>
  <c r="W122" i="3"/>
  <c r="V122" i="3"/>
  <c r="U122" i="3"/>
  <c r="T122" i="3"/>
  <c r="R122" i="3"/>
  <c r="P122" i="3"/>
  <c r="O122" i="3"/>
  <c r="N122" i="3"/>
  <c r="L122" i="3"/>
  <c r="K122" i="3"/>
  <c r="J122" i="3"/>
  <c r="M122" i="3" s="1"/>
  <c r="I122" i="3"/>
  <c r="H122" i="3"/>
  <c r="G122" i="3"/>
  <c r="F122" i="3"/>
  <c r="C122" i="3"/>
  <c r="X120" i="3"/>
  <c r="W120" i="3"/>
  <c r="V120" i="3"/>
  <c r="U120" i="3"/>
  <c r="T120" i="3"/>
  <c r="R120" i="3"/>
  <c r="P120" i="3"/>
  <c r="O120" i="3"/>
  <c r="N120" i="3"/>
  <c r="L120" i="3"/>
  <c r="K120" i="3"/>
  <c r="J120" i="3"/>
  <c r="M120" i="3" s="1"/>
  <c r="I120" i="3"/>
  <c r="H120" i="3"/>
  <c r="G120" i="3"/>
  <c r="F120" i="3"/>
  <c r="C120" i="3"/>
  <c r="X119" i="3"/>
  <c r="W119" i="3"/>
  <c r="V119" i="3"/>
  <c r="U119" i="3"/>
  <c r="T119" i="3"/>
  <c r="R119" i="3"/>
  <c r="P119" i="3"/>
  <c r="O119" i="3"/>
  <c r="N119" i="3"/>
  <c r="L119" i="3"/>
  <c r="K119" i="3"/>
  <c r="J119" i="3"/>
  <c r="M119" i="3" s="1"/>
  <c r="I119" i="3"/>
  <c r="H119" i="3"/>
  <c r="G119" i="3"/>
  <c r="F119" i="3"/>
  <c r="C119" i="3"/>
  <c r="X118" i="3"/>
  <c r="W118" i="3"/>
  <c r="V118" i="3"/>
  <c r="U118" i="3"/>
  <c r="T118" i="3"/>
  <c r="R118" i="3"/>
  <c r="P118" i="3"/>
  <c r="O118" i="3"/>
  <c r="N118" i="3"/>
  <c r="L118" i="3"/>
  <c r="K118" i="3"/>
  <c r="J118" i="3"/>
  <c r="M118" i="3" s="1"/>
  <c r="I118" i="3"/>
  <c r="H118" i="3"/>
  <c r="G118" i="3"/>
  <c r="F118" i="3"/>
  <c r="C118" i="3"/>
  <c r="X117" i="3"/>
  <c r="W117" i="3"/>
  <c r="V117" i="3"/>
  <c r="U117" i="3"/>
  <c r="T117" i="3"/>
  <c r="R117" i="3"/>
  <c r="P117" i="3"/>
  <c r="O117" i="3"/>
  <c r="N117" i="3"/>
  <c r="L117" i="3"/>
  <c r="K117" i="3"/>
  <c r="J117" i="3"/>
  <c r="M117" i="3" s="1"/>
  <c r="I117" i="3"/>
  <c r="H117" i="3"/>
  <c r="G117" i="3"/>
  <c r="F117" i="3"/>
  <c r="C117" i="3"/>
  <c r="X116" i="3"/>
  <c r="W116" i="3"/>
  <c r="V116" i="3"/>
  <c r="U116" i="3"/>
  <c r="T116" i="3"/>
  <c r="R116" i="3"/>
  <c r="P116" i="3"/>
  <c r="O116" i="3"/>
  <c r="N116" i="3"/>
  <c r="L116" i="3"/>
  <c r="K116" i="3"/>
  <c r="J116" i="3"/>
  <c r="M116" i="3" s="1"/>
  <c r="I116" i="3"/>
  <c r="H116" i="3"/>
  <c r="G116" i="3"/>
  <c r="F116" i="3"/>
  <c r="C116" i="3"/>
  <c r="X115" i="3"/>
  <c r="W115" i="3"/>
  <c r="V115" i="3"/>
  <c r="U115" i="3"/>
  <c r="T115" i="3"/>
  <c r="R115" i="3"/>
  <c r="P115" i="3"/>
  <c r="O115" i="3"/>
  <c r="N115" i="3"/>
  <c r="L115" i="3"/>
  <c r="K115" i="3"/>
  <c r="J115" i="3"/>
  <c r="M115" i="3" s="1"/>
  <c r="I115" i="3"/>
  <c r="H115" i="3"/>
  <c r="G115" i="3"/>
  <c r="F115" i="3"/>
  <c r="C115" i="3"/>
  <c r="X114" i="3"/>
  <c r="W114" i="3"/>
  <c r="V114" i="3"/>
  <c r="U114" i="3"/>
  <c r="T114" i="3"/>
  <c r="R114" i="3"/>
  <c r="P114" i="3"/>
  <c r="O114" i="3"/>
  <c r="N114" i="3"/>
  <c r="L114" i="3"/>
  <c r="K114" i="3"/>
  <c r="J114" i="3"/>
  <c r="M114" i="3" s="1"/>
  <c r="I114" i="3"/>
  <c r="H114" i="3"/>
  <c r="G114" i="3"/>
  <c r="F114" i="3"/>
  <c r="C114" i="3"/>
  <c r="X112" i="3"/>
  <c r="W112" i="3"/>
  <c r="V112" i="3"/>
  <c r="U112" i="3"/>
  <c r="T112" i="3"/>
  <c r="R112" i="3"/>
  <c r="P112" i="3"/>
  <c r="O112" i="3"/>
  <c r="N112" i="3"/>
  <c r="L112" i="3"/>
  <c r="K112" i="3"/>
  <c r="J112" i="3"/>
  <c r="M112" i="3" s="1"/>
  <c r="I112" i="3"/>
  <c r="H112" i="3"/>
  <c r="G112" i="3"/>
  <c r="F112" i="3"/>
  <c r="C112" i="3"/>
  <c r="X111" i="3"/>
  <c r="W111" i="3"/>
  <c r="V111" i="3"/>
  <c r="U111" i="3"/>
  <c r="T111" i="3"/>
  <c r="R111" i="3"/>
  <c r="P111" i="3"/>
  <c r="O111" i="3"/>
  <c r="N111" i="3"/>
  <c r="L111" i="3"/>
  <c r="K111" i="3"/>
  <c r="J111" i="3"/>
  <c r="M111" i="3" s="1"/>
  <c r="I111" i="3"/>
  <c r="H111" i="3"/>
  <c r="G111" i="3"/>
  <c r="F111" i="3"/>
  <c r="C111" i="3"/>
  <c r="X110" i="3"/>
  <c r="W110" i="3"/>
  <c r="V110" i="3"/>
  <c r="U110" i="3"/>
  <c r="T110" i="3"/>
  <c r="R110" i="3"/>
  <c r="P110" i="3"/>
  <c r="O110" i="3"/>
  <c r="N110" i="3"/>
  <c r="L110" i="3"/>
  <c r="K110" i="3"/>
  <c r="J110" i="3"/>
  <c r="M110" i="3" s="1"/>
  <c r="I110" i="3"/>
  <c r="H110" i="3"/>
  <c r="G110" i="3"/>
  <c r="F110" i="3"/>
  <c r="C110" i="3"/>
  <c r="X109" i="3"/>
  <c r="W109" i="3"/>
  <c r="V109" i="3"/>
  <c r="U109" i="3"/>
  <c r="T109" i="3"/>
  <c r="R109" i="3"/>
  <c r="P109" i="3"/>
  <c r="O109" i="3"/>
  <c r="N109" i="3"/>
  <c r="L109" i="3"/>
  <c r="K109" i="3"/>
  <c r="J109" i="3"/>
  <c r="M109" i="3" s="1"/>
  <c r="I109" i="3"/>
  <c r="H109" i="3"/>
  <c r="G109" i="3"/>
  <c r="F109" i="3"/>
  <c r="C109" i="3"/>
  <c r="X108" i="3"/>
  <c r="W108" i="3"/>
  <c r="V108" i="3"/>
  <c r="U108" i="3"/>
  <c r="T108" i="3"/>
  <c r="R108" i="3"/>
  <c r="P108" i="3"/>
  <c r="O108" i="3"/>
  <c r="N108" i="3"/>
  <c r="L108" i="3"/>
  <c r="K108" i="3"/>
  <c r="J108" i="3"/>
  <c r="M108" i="3" s="1"/>
  <c r="I108" i="3"/>
  <c r="H108" i="3"/>
  <c r="G108" i="3"/>
  <c r="F108" i="3"/>
  <c r="C108" i="3"/>
  <c r="X107" i="3"/>
  <c r="W107" i="3"/>
  <c r="V107" i="3"/>
  <c r="U107" i="3"/>
  <c r="T107" i="3"/>
  <c r="R107" i="3"/>
  <c r="P107" i="3"/>
  <c r="O107" i="3"/>
  <c r="N107" i="3"/>
  <c r="L107" i="3"/>
  <c r="K107" i="3"/>
  <c r="J107" i="3"/>
  <c r="M107" i="3" s="1"/>
  <c r="I107" i="3"/>
  <c r="H107" i="3"/>
  <c r="G107" i="3"/>
  <c r="F107" i="3"/>
  <c r="C107" i="3"/>
  <c r="X106" i="3"/>
  <c r="W106" i="3"/>
  <c r="V106" i="3"/>
  <c r="U106" i="3"/>
  <c r="T106" i="3"/>
  <c r="R106" i="3"/>
  <c r="P106" i="3"/>
  <c r="O106" i="3"/>
  <c r="N106" i="3"/>
  <c r="L106" i="3"/>
  <c r="K106" i="3"/>
  <c r="J106" i="3"/>
  <c r="M106" i="3" s="1"/>
  <c r="I106" i="3"/>
  <c r="H106" i="3"/>
  <c r="G106" i="3"/>
  <c r="F106" i="3"/>
  <c r="C106" i="3"/>
  <c r="X105" i="3"/>
  <c r="W105" i="3"/>
  <c r="V105" i="3"/>
  <c r="U105" i="3"/>
  <c r="T105" i="3"/>
  <c r="R105" i="3"/>
  <c r="P105" i="3"/>
  <c r="O105" i="3"/>
  <c r="N105" i="3"/>
  <c r="L105" i="3"/>
  <c r="K105" i="3"/>
  <c r="J105" i="3"/>
  <c r="M105" i="3" s="1"/>
  <c r="I105" i="3"/>
  <c r="H105" i="3"/>
  <c r="G105" i="3"/>
  <c r="F105" i="3"/>
  <c r="C105" i="3"/>
  <c r="X104" i="3"/>
  <c r="W104" i="3"/>
  <c r="V104" i="3"/>
  <c r="U104" i="3"/>
  <c r="T104" i="3"/>
  <c r="R104" i="3"/>
  <c r="P104" i="3"/>
  <c r="O104" i="3"/>
  <c r="N104" i="3"/>
  <c r="L104" i="3"/>
  <c r="K104" i="3"/>
  <c r="J104" i="3"/>
  <c r="M104" i="3" s="1"/>
  <c r="I104" i="3"/>
  <c r="H104" i="3"/>
  <c r="G104" i="3"/>
  <c r="F104" i="3"/>
  <c r="C104" i="3"/>
  <c r="X103" i="3"/>
  <c r="W103" i="3"/>
  <c r="V103" i="3"/>
  <c r="U103" i="3"/>
  <c r="T103" i="3"/>
  <c r="R103" i="3"/>
  <c r="P103" i="3"/>
  <c r="O103" i="3"/>
  <c r="N103" i="3"/>
  <c r="L103" i="3"/>
  <c r="K103" i="3"/>
  <c r="J103" i="3"/>
  <c r="M103" i="3" s="1"/>
  <c r="I103" i="3"/>
  <c r="H103" i="3"/>
  <c r="G103" i="3"/>
  <c r="F103" i="3"/>
  <c r="C103" i="3"/>
  <c r="X102" i="3"/>
  <c r="W102" i="3"/>
  <c r="V102" i="3"/>
  <c r="U102" i="3"/>
  <c r="T102" i="3"/>
  <c r="R102" i="3"/>
  <c r="P102" i="3"/>
  <c r="O102" i="3"/>
  <c r="N102" i="3"/>
  <c r="L102" i="3"/>
  <c r="K102" i="3"/>
  <c r="J102" i="3"/>
  <c r="M102" i="3" s="1"/>
  <c r="I102" i="3"/>
  <c r="H102" i="3"/>
  <c r="G102" i="3"/>
  <c r="F102" i="3"/>
  <c r="C102" i="3"/>
  <c r="X101" i="3"/>
  <c r="W101" i="3"/>
  <c r="V101" i="3"/>
  <c r="U101" i="3"/>
  <c r="T101" i="3"/>
  <c r="R101" i="3"/>
  <c r="P101" i="3"/>
  <c r="O101" i="3"/>
  <c r="N101" i="3"/>
  <c r="L101" i="3"/>
  <c r="K101" i="3"/>
  <c r="J101" i="3"/>
  <c r="M101" i="3" s="1"/>
  <c r="I101" i="3"/>
  <c r="H101" i="3"/>
  <c r="G101" i="3"/>
  <c r="F101" i="3"/>
  <c r="C101" i="3"/>
  <c r="X100" i="3"/>
  <c r="W100" i="3"/>
  <c r="V100" i="3"/>
  <c r="U100" i="3"/>
  <c r="T100" i="3"/>
  <c r="R100" i="3"/>
  <c r="P100" i="3"/>
  <c r="O100" i="3"/>
  <c r="N100" i="3"/>
  <c r="L100" i="3"/>
  <c r="K100" i="3"/>
  <c r="J100" i="3"/>
  <c r="M100" i="3" s="1"/>
  <c r="I100" i="3"/>
  <c r="H100" i="3"/>
  <c r="G100" i="3"/>
  <c r="F100" i="3"/>
  <c r="C100" i="3"/>
  <c r="X99" i="3"/>
  <c r="W99" i="3"/>
  <c r="V99" i="3"/>
  <c r="U99" i="3"/>
  <c r="T99" i="3"/>
  <c r="R99" i="3"/>
  <c r="P99" i="3"/>
  <c r="O99" i="3"/>
  <c r="N99" i="3"/>
  <c r="L99" i="3"/>
  <c r="K99" i="3"/>
  <c r="J99" i="3"/>
  <c r="M99" i="3" s="1"/>
  <c r="I99" i="3"/>
  <c r="H99" i="3"/>
  <c r="G99" i="3"/>
  <c r="F99" i="3"/>
  <c r="C99" i="3"/>
  <c r="X98" i="3"/>
  <c r="W98" i="3"/>
  <c r="V98" i="3"/>
  <c r="U98" i="3"/>
  <c r="T98" i="3"/>
  <c r="R98" i="3"/>
  <c r="P98" i="3"/>
  <c r="O98" i="3"/>
  <c r="N98" i="3"/>
  <c r="L98" i="3"/>
  <c r="K98" i="3"/>
  <c r="J98" i="3"/>
  <c r="M98" i="3" s="1"/>
  <c r="I98" i="3"/>
  <c r="H98" i="3"/>
  <c r="G98" i="3"/>
  <c r="F98" i="3"/>
  <c r="C98" i="3"/>
  <c r="X97" i="3"/>
  <c r="W97" i="3"/>
  <c r="V97" i="3"/>
  <c r="U97" i="3"/>
  <c r="T97" i="3"/>
  <c r="R97" i="3"/>
  <c r="P97" i="3"/>
  <c r="O97" i="3"/>
  <c r="N97" i="3"/>
  <c r="L97" i="3"/>
  <c r="K97" i="3"/>
  <c r="J97" i="3"/>
  <c r="M97" i="3" s="1"/>
  <c r="I97" i="3"/>
  <c r="H97" i="3"/>
  <c r="G97" i="3"/>
  <c r="F97" i="3"/>
  <c r="C97" i="3"/>
  <c r="X96" i="3"/>
  <c r="W96" i="3"/>
  <c r="V96" i="3"/>
  <c r="U96" i="3"/>
  <c r="T96" i="3"/>
  <c r="R96" i="3"/>
  <c r="P96" i="3"/>
  <c r="O96" i="3"/>
  <c r="N96" i="3"/>
  <c r="L96" i="3"/>
  <c r="K96" i="3"/>
  <c r="J96" i="3"/>
  <c r="M96" i="3" s="1"/>
  <c r="I96" i="3"/>
  <c r="H96" i="3"/>
  <c r="G96" i="3"/>
  <c r="F96" i="3"/>
  <c r="C96" i="3"/>
  <c r="X95" i="3"/>
  <c r="W95" i="3"/>
  <c r="V95" i="3"/>
  <c r="U95" i="3"/>
  <c r="T95" i="3"/>
  <c r="R95" i="3"/>
  <c r="P95" i="3"/>
  <c r="O95" i="3"/>
  <c r="N95" i="3"/>
  <c r="L95" i="3"/>
  <c r="K95" i="3"/>
  <c r="J95" i="3"/>
  <c r="M95" i="3" s="1"/>
  <c r="I95" i="3"/>
  <c r="H95" i="3"/>
  <c r="G95" i="3"/>
  <c r="F95" i="3"/>
  <c r="C95" i="3"/>
  <c r="X94" i="3"/>
  <c r="W94" i="3"/>
  <c r="V94" i="3"/>
  <c r="U94" i="3"/>
  <c r="T94" i="3"/>
  <c r="R94" i="3"/>
  <c r="P94" i="3"/>
  <c r="O94" i="3"/>
  <c r="N94" i="3"/>
  <c r="L94" i="3"/>
  <c r="K94" i="3"/>
  <c r="J94" i="3"/>
  <c r="M94" i="3" s="1"/>
  <c r="I94" i="3"/>
  <c r="H94" i="3"/>
  <c r="G94" i="3"/>
  <c r="F94" i="3"/>
  <c r="C94" i="3"/>
  <c r="X93" i="3"/>
  <c r="W93" i="3"/>
  <c r="V93" i="3"/>
  <c r="U93" i="3"/>
  <c r="T93" i="3"/>
  <c r="R93" i="3"/>
  <c r="P93" i="3"/>
  <c r="O93" i="3"/>
  <c r="N93" i="3"/>
  <c r="L93" i="3"/>
  <c r="K93" i="3"/>
  <c r="J93" i="3"/>
  <c r="M93" i="3" s="1"/>
  <c r="I93" i="3"/>
  <c r="H93" i="3"/>
  <c r="G93" i="3"/>
  <c r="F93" i="3"/>
  <c r="C93" i="3"/>
  <c r="X92" i="3"/>
  <c r="W92" i="3"/>
  <c r="V92" i="3"/>
  <c r="U92" i="3"/>
  <c r="T92" i="3"/>
  <c r="R92" i="3"/>
  <c r="P92" i="3"/>
  <c r="O92" i="3"/>
  <c r="N92" i="3"/>
  <c r="L92" i="3"/>
  <c r="K92" i="3"/>
  <c r="J92" i="3"/>
  <c r="M92" i="3" s="1"/>
  <c r="I92" i="3"/>
  <c r="H92" i="3"/>
  <c r="G92" i="3"/>
  <c r="F92" i="3"/>
  <c r="C92" i="3"/>
  <c r="X91" i="3"/>
  <c r="W91" i="3"/>
  <c r="V91" i="3"/>
  <c r="U91" i="3"/>
  <c r="T91" i="3"/>
  <c r="R91" i="3"/>
  <c r="P91" i="3"/>
  <c r="O91" i="3"/>
  <c r="N91" i="3"/>
  <c r="L91" i="3"/>
  <c r="K91" i="3"/>
  <c r="J91" i="3"/>
  <c r="M91" i="3" s="1"/>
  <c r="I91" i="3"/>
  <c r="H91" i="3"/>
  <c r="G91" i="3"/>
  <c r="F91" i="3"/>
  <c r="C91" i="3"/>
  <c r="X90" i="3"/>
  <c r="W90" i="3"/>
  <c r="V90" i="3"/>
  <c r="U90" i="3"/>
  <c r="T90" i="3"/>
  <c r="R90" i="3"/>
  <c r="P90" i="3"/>
  <c r="O90" i="3"/>
  <c r="N90" i="3"/>
  <c r="L90" i="3"/>
  <c r="K90" i="3"/>
  <c r="J90" i="3"/>
  <c r="M90" i="3" s="1"/>
  <c r="I90" i="3"/>
  <c r="H90" i="3"/>
  <c r="G90" i="3"/>
  <c r="F90" i="3"/>
  <c r="C90" i="3"/>
  <c r="X89" i="3"/>
  <c r="W89" i="3"/>
  <c r="V89" i="3"/>
  <c r="U89" i="3"/>
  <c r="T89" i="3"/>
  <c r="R89" i="3"/>
  <c r="P89" i="3"/>
  <c r="O89" i="3"/>
  <c r="N89" i="3"/>
  <c r="L89" i="3"/>
  <c r="K89" i="3"/>
  <c r="J89" i="3"/>
  <c r="M89" i="3" s="1"/>
  <c r="I89" i="3"/>
  <c r="H89" i="3"/>
  <c r="G89" i="3"/>
  <c r="F89" i="3"/>
  <c r="C89" i="3"/>
  <c r="X88" i="3"/>
  <c r="W88" i="3"/>
  <c r="V88" i="3"/>
  <c r="U88" i="3"/>
  <c r="T88" i="3"/>
  <c r="R88" i="3"/>
  <c r="P88" i="3"/>
  <c r="O88" i="3"/>
  <c r="N88" i="3"/>
  <c r="L88" i="3"/>
  <c r="K88" i="3"/>
  <c r="J88" i="3"/>
  <c r="M88" i="3" s="1"/>
  <c r="I88" i="3"/>
  <c r="H88" i="3"/>
  <c r="G88" i="3"/>
  <c r="F88" i="3"/>
  <c r="C88" i="3"/>
  <c r="X87" i="3"/>
  <c r="W87" i="3"/>
  <c r="V87" i="3"/>
  <c r="U87" i="3"/>
  <c r="T87" i="3"/>
  <c r="R87" i="3"/>
  <c r="P87" i="3"/>
  <c r="O87" i="3"/>
  <c r="N87" i="3"/>
  <c r="L87" i="3"/>
  <c r="K87" i="3"/>
  <c r="J87" i="3"/>
  <c r="M87" i="3" s="1"/>
  <c r="I87" i="3"/>
  <c r="H87" i="3"/>
  <c r="G87" i="3"/>
  <c r="F87" i="3"/>
  <c r="C87" i="3"/>
  <c r="X86" i="3"/>
  <c r="W86" i="3"/>
  <c r="V86" i="3"/>
  <c r="U86" i="3"/>
  <c r="T86" i="3"/>
  <c r="R86" i="3"/>
  <c r="P86" i="3"/>
  <c r="O86" i="3"/>
  <c r="N86" i="3"/>
  <c r="L86" i="3"/>
  <c r="K86" i="3"/>
  <c r="J86" i="3"/>
  <c r="M86" i="3" s="1"/>
  <c r="I86" i="3"/>
  <c r="H86" i="3"/>
  <c r="G86" i="3"/>
  <c r="F86" i="3"/>
  <c r="C86" i="3"/>
  <c r="X85" i="3"/>
  <c r="W85" i="3"/>
  <c r="V85" i="3"/>
  <c r="U85" i="3"/>
  <c r="T85" i="3"/>
  <c r="R85" i="3"/>
  <c r="P85" i="3"/>
  <c r="O85" i="3"/>
  <c r="N85" i="3"/>
  <c r="L85" i="3"/>
  <c r="K85" i="3"/>
  <c r="J85" i="3"/>
  <c r="M85" i="3" s="1"/>
  <c r="I85" i="3"/>
  <c r="H85" i="3"/>
  <c r="G85" i="3"/>
  <c r="F85" i="3"/>
  <c r="C85" i="3"/>
  <c r="X84" i="3"/>
  <c r="W84" i="3"/>
  <c r="V84" i="3"/>
  <c r="U84" i="3"/>
  <c r="T84" i="3"/>
  <c r="R84" i="3"/>
  <c r="P84" i="3"/>
  <c r="O84" i="3"/>
  <c r="N84" i="3"/>
  <c r="L84" i="3"/>
  <c r="K84" i="3"/>
  <c r="J84" i="3"/>
  <c r="M84" i="3" s="1"/>
  <c r="I84" i="3"/>
  <c r="H84" i="3"/>
  <c r="G84" i="3"/>
  <c r="F84" i="3"/>
  <c r="C84" i="3"/>
  <c r="X83" i="3"/>
  <c r="W83" i="3"/>
  <c r="V83" i="3"/>
  <c r="U83" i="3"/>
  <c r="T83" i="3"/>
  <c r="R83" i="3"/>
  <c r="P83" i="3"/>
  <c r="O83" i="3"/>
  <c r="N83" i="3"/>
  <c r="L83" i="3"/>
  <c r="K83" i="3"/>
  <c r="J83" i="3"/>
  <c r="M83" i="3" s="1"/>
  <c r="I83" i="3"/>
  <c r="H83" i="3"/>
  <c r="G83" i="3"/>
  <c r="F83" i="3"/>
  <c r="C83" i="3"/>
  <c r="X82" i="3"/>
  <c r="W82" i="3"/>
  <c r="V82" i="3"/>
  <c r="U82" i="3"/>
  <c r="T82" i="3"/>
  <c r="R82" i="3"/>
  <c r="P82" i="3"/>
  <c r="O82" i="3"/>
  <c r="N82" i="3"/>
  <c r="L82" i="3"/>
  <c r="K82" i="3"/>
  <c r="J82" i="3"/>
  <c r="M82" i="3" s="1"/>
  <c r="I82" i="3"/>
  <c r="H82" i="3"/>
  <c r="G82" i="3"/>
  <c r="F82" i="3"/>
  <c r="C82" i="3"/>
  <c r="X81" i="3"/>
  <c r="W81" i="3"/>
  <c r="V81" i="3"/>
  <c r="U81" i="3"/>
  <c r="T81" i="3"/>
  <c r="R81" i="3"/>
  <c r="P81" i="3"/>
  <c r="O81" i="3"/>
  <c r="N81" i="3"/>
  <c r="L81" i="3"/>
  <c r="K81" i="3"/>
  <c r="J81" i="3"/>
  <c r="M81" i="3" s="1"/>
  <c r="I81" i="3"/>
  <c r="H81" i="3"/>
  <c r="G81" i="3"/>
  <c r="F81" i="3"/>
  <c r="C81" i="3"/>
  <c r="X80" i="3"/>
  <c r="W80" i="3"/>
  <c r="V80" i="3"/>
  <c r="U80" i="3"/>
  <c r="T80" i="3"/>
  <c r="R80" i="3"/>
  <c r="P80" i="3"/>
  <c r="O80" i="3"/>
  <c r="N80" i="3"/>
  <c r="L80" i="3"/>
  <c r="K80" i="3"/>
  <c r="J80" i="3"/>
  <c r="M80" i="3" s="1"/>
  <c r="I80" i="3"/>
  <c r="H80" i="3"/>
  <c r="G80" i="3"/>
  <c r="F80" i="3"/>
  <c r="C80" i="3"/>
  <c r="X79" i="3"/>
  <c r="W79" i="3"/>
  <c r="V79" i="3"/>
  <c r="U79" i="3"/>
  <c r="T79" i="3"/>
  <c r="R79" i="3"/>
  <c r="P79" i="3"/>
  <c r="O79" i="3"/>
  <c r="N79" i="3"/>
  <c r="L79" i="3"/>
  <c r="K79" i="3"/>
  <c r="J79" i="3"/>
  <c r="M79" i="3" s="1"/>
  <c r="I79" i="3"/>
  <c r="H79" i="3"/>
  <c r="G79" i="3"/>
  <c r="F79" i="3"/>
  <c r="C79" i="3"/>
  <c r="X78" i="3"/>
  <c r="W78" i="3"/>
  <c r="V78" i="3"/>
  <c r="U78" i="3"/>
  <c r="T78" i="3"/>
  <c r="R78" i="3"/>
  <c r="P78" i="3"/>
  <c r="O78" i="3"/>
  <c r="N78" i="3"/>
  <c r="L78" i="3"/>
  <c r="K78" i="3"/>
  <c r="J78" i="3"/>
  <c r="M78" i="3" s="1"/>
  <c r="I78" i="3"/>
  <c r="H78" i="3"/>
  <c r="G78" i="3"/>
  <c r="F78" i="3"/>
  <c r="C78" i="3"/>
  <c r="X77" i="3"/>
  <c r="W77" i="3"/>
  <c r="V77" i="3"/>
  <c r="U77" i="3"/>
  <c r="T77" i="3"/>
  <c r="R77" i="3"/>
  <c r="P77" i="3"/>
  <c r="O77" i="3"/>
  <c r="N77" i="3"/>
  <c r="L77" i="3"/>
  <c r="K77" i="3"/>
  <c r="J77" i="3"/>
  <c r="M77" i="3" s="1"/>
  <c r="I77" i="3"/>
  <c r="H77" i="3"/>
  <c r="G77" i="3"/>
  <c r="F77" i="3"/>
  <c r="C77" i="3"/>
  <c r="X76" i="3"/>
  <c r="W76" i="3"/>
  <c r="V76" i="3"/>
  <c r="U76" i="3"/>
  <c r="T76" i="3"/>
  <c r="R76" i="3"/>
  <c r="P76" i="3"/>
  <c r="O76" i="3"/>
  <c r="N76" i="3"/>
  <c r="L76" i="3"/>
  <c r="K76" i="3"/>
  <c r="J76" i="3"/>
  <c r="M76" i="3" s="1"/>
  <c r="I76" i="3"/>
  <c r="H76" i="3"/>
  <c r="G76" i="3"/>
  <c r="F76" i="3"/>
  <c r="C76" i="3"/>
  <c r="X75" i="3"/>
  <c r="W75" i="3"/>
  <c r="V75" i="3"/>
  <c r="U75" i="3"/>
  <c r="T75" i="3"/>
  <c r="R75" i="3"/>
  <c r="P75" i="3"/>
  <c r="O75" i="3"/>
  <c r="N75" i="3"/>
  <c r="L75" i="3"/>
  <c r="K75" i="3"/>
  <c r="J75" i="3"/>
  <c r="M75" i="3" s="1"/>
  <c r="I75" i="3"/>
  <c r="H75" i="3"/>
  <c r="G75" i="3"/>
  <c r="F75" i="3"/>
  <c r="C75" i="3"/>
  <c r="X74" i="3"/>
  <c r="W74" i="3"/>
  <c r="V74" i="3"/>
  <c r="U74" i="3"/>
  <c r="T74" i="3"/>
  <c r="R74" i="3"/>
  <c r="P74" i="3"/>
  <c r="O74" i="3"/>
  <c r="N74" i="3"/>
  <c r="L74" i="3"/>
  <c r="K74" i="3"/>
  <c r="J74" i="3"/>
  <c r="M74" i="3" s="1"/>
  <c r="I74" i="3"/>
  <c r="H74" i="3"/>
  <c r="G74" i="3"/>
  <c r="F74" i="3"/>
  <c r="C74" i="3"/>
  <c r="X73" i="3"/>
  <c r="W73" i="3"/>
  <c r="V73" i="3"/>
  <c r="U73" i="3"/>
  <c r="T73" i="3"/>
  <c r="R73" i="3"/>
  <c r="P73" i="3"/>
  <c r="O73" i="3"/>
  <c r="N73" i="3"/>
  <c r="L73" i="3"/>
  <c r="K73" i="3"/>
  <c r="J73" i="3"/>
  <c r="M73" i="3" s="1"/>
  <c r="I73" i="3"/>
  <c r="H73" i="3"/>
  <c r="G73" i="3"/>
  <c r="F73" i="3"/>
  <c r="C73" i="3"/>
  <c r="X72" i="3"/>
  <c r="W72" i="3"/>
  <c r="V72" i="3"/>
  <c r="U72" i="3"/>
  <c r="T72" i="3"/>
  <c r="R72" i="3"/>
  <c r="P72" i="3"/>
  <c r="O72" i="3"/>
  <c r="N72" i="3"/>
  <c r="L72" i="3"/>
  <c r="K72" i="3"/>
  <c r="J72" i="3"/>
  <c r="M72" i="3" s="1"/>
  <c r="I72" i="3"/>
  <c r="H72" i="3"/>
  <c r="G72" i="3"/>
  <c r="F72" i="3"/>
  <c r="C72" i="3"/>
  <c r="X71" i="3"/>
  <c r="W71" i="3"/>
  <c r="V71" i="3"/>
  <c r="U71" i="3"/>
  <c r="T71" i="3"/>
  <c r="R71" i="3"/>
  <c r="P71" i="3"/>
  <c r="O71" i="3"/>
  <c r="N71" i="3"/>
  <c r="L71" i="3"/>
  <c r="K71" i="3"/>
  <c r="J71" i="3"/>
  <c r="M71" i="3" s="1"/>
  <c r="I71" i="3"/>
  <c r="H71" i="3"/>
  <c r="G71" i="3"/>
  <c r="F71" i="3"/>
  <c r="C71" i="3"/>
  <c r="X70" i="3"/>
  <c r="W70" i="3"/>
  <c r="V70" i="3"/>
  <c r="U70" i="3"/>
  <c r="T70" i="3"/>
  <c r="R70" i="3"/>
  <c r="P70" i="3"/>
  <c r="O70" i="3"/>
  <c r="N70" i="3"/>
  <c r="L70" i="3"/>
  <c r="K70" i="3"/>
  <c r="J70" i="3"/>
  <c r="M70" i="3" s="1"/>
  <c r="I70" i="3"/>
  <c r="H70" i="3"/>
  <c r="G70" i="3"/>
  <c r="F70" i="3"/>
  <c r="C70" i="3"/>
  <c r="X68" i="3"/>
  <c r="W68" i="3"/>
  <c r="V68" i="3"/>
  <c r="U68" i="3"/>
  <c r="T68" i="3"/>
  <c r="R68" i="3"/>
  <c r="P68" i="3"/>
  <c r="O68" i="3"/>
  <c r="N68" i="3"/>
  <c r="M68" i="3"/>
  <c r="L68" i="3"/>
  <c r="K68" i="3"/>
  <c r="J68" i="3"/>
  <c r="I68" i="3"/>
  <c r="H68" i="3"/>
  <c r="G68" i="3"/>
  <c r="F68" i="3"/>
  <c r="C68" i="3"/>
  <c r="X67" i="3"/>
  <c r="W67" i="3"/>
  <c r="V67" i="3"/>
  <c r="U67" i="3"/>
  <c r="T67" i="3"/>
  <c r="R67" i="3"/>
  <c r="P67" i="3"/>
  <c r="O67" i="3"/>
  <c r="N67" i="3"/>
  <c r="L67" i="3"/>
  <c r="K67" i="3"/>
  <c r="J67" i="3"/>
  <c r="M67" i="3" s="1"/>
  <c r="I67" i="3"/>
  <c r="H67" i="3"/>
  <c r="G67" i="3"/>
  <c r="F67" i="3"/>
  <c r="C67" i="3"/>
  <c r="X66" i="3"/>
  <c r="W66" i="3"/>
  <c r="V66" i="3"/>
  <c r="U66" i="3"/>
  <c r="T66" i="3"/>
  <c r="R66" i="3"/>
  <c r="P66" i="3"/>
  <c r="O66" i="3"/>
  <c r="N66" i="3"/>
  <c r="M66" i="3"/>
  <c r="L66" i="3"/>
  <c r="K66" i="3"/>
  <c r="J66" i="3"/>
  <c r="I66" i="3"/>
  <c r="H66" i="3"/>
  <c r="G66" i="3"/>
  <c r="F66" i="3"/>
  <c r="C66" i="3"/>
  <c r="X65" i="3"/>
  <c r="W65" i="3"/>
  <c r="V65" i="3"/>
  <c r="U65" i="3"/>
  <c r="T65" i="3"/>
  <c r="R65" i="3"/>
  <c r="P65" i="3"/>
  <c r="O65" i="3"/>
  <c r="N65" i="3"/>
  <c r="L65" i="3"/>
  <c r="K65" i="3"/>
  <c r="J65" i="3"/>
  <c r="M65" i="3" s="1"/>
  <c r="I65" i="3"/>
  <c r="H65" i="3"/>
  <c r="G65" i="3"/>
  <c r="F65" i="3"/>
  <c r="C65" i="3"/>
  <c r="X64" i="3"/>
  <c r="W64" i="3"/>
  <c r="V64" i="3"/>
  <c r="U64" i="3"/>
  <c r="T64" i="3"/>
  <c r="R64" i="3"/>
  <c r="P64" i="3"/>
  <c r="O64" i="3"/>
  <c r="N64" i="3"/>
  <c r="L64" i="3"/>
  <c r="K64" i="3"/>
  <c r="J64" i="3"/>
  <c r="M64" i="3" s="1"/>
  <c r="I64" i="3"/>
  <c r="H64" i="3"/>
  <c r="G64" i="3"/>
  <c r="F64" i="3"/>
  <c r="C64" i="3"/>
  <c r="X63" i="3"/>
  <c r="W63" i="3"/>
  <c r="V63" i="3"/>
  <c r="U63" i="3"/>
  <c r="T63" i="3"/>
  <c r="R63" i="3"/>
  <c r="P63" i="3"/>
  <c r="O63" i="3"/>
  <c r="N63" i="3"/>
  <c r="L63" i="3"/>
  <c r="K63" i="3"/>
  <c r="J63" i="3"/>
  <c r="I63" i="3"/>
  <c r="H63" i="3"/>
  <c r="G63" i="3"/>
  <c r="F63" i="3"/>
  <c r="C63" i="3"/>
  <c r="X62" i="3"/>
  <c r="W62" i="3"/>
  <c r="V62" i="3"/>
  <c r="U62" i="3"/>
  <c r="T62" i="3"/>
  <c r="R62" i="3"/>
  <c r="P62" i="3"/>
  <c r="O62" i="3"/>
  <c r="N62" i="3"/>
  <c r="L62" i="3"/>
  <c r="K62" i="3"/>
  <c r="J62" i="3"/>
  <c r="M62" i="3" s="1"/>
  <c r="I62" i="3"/>
  <c r="H62" i="3"/>
  <c r="G62" i="3"/>
  <c r="F62" i="3"/>
  <c r="C62" i="3"/>
  <c r="X61" i="3"/>
  <c r="W61" i="3"/>
  <c r="V61" i="3"/>
  <c r="U61" i="3"/>
  <c r="T61" i="3"/>
  <c r="R61" i="3"/>
  <c r="P61" i="3"/>
  <c r="O61" i="3"/>
  <c r="N61" i="3"/>
  <c r="M61" i="3"/>
  <c r="L61" i="3"/>
  <c r="K61" i="3"/>
  <c r="J61" i="3"/>
  <c r="I61" i="3"/>
  <c r="H61" i="3"/>
  <c r="G61" i="3"/>
  <c r="F61" i="3"/>
  <c r="C61" i="3"/>
  <c r="X60" i="3"/>
  <c r="W60" i="3"/>
  <c r="V60" i="3"/>
  <c r="U60" i="3"/>
  <c r="T60" i="3"/>
  <c r="R60" i="3"/>
  <c r="P60" i="3"/>
  <c r="O60" i="3"/>
  <c r="N60" i="3"/>
  <c r="L60" i="3"/>
  <c r="K60" i="3"/>
  <c r="J60" i="3"/>
  <c r="M60" i="3" s="1"/>
  <c r="I60" i="3"/>
  <c r="H60" i="3"/>
  <c r="G60" i="3"/>
  <c r="F60" i="3"/>
  <c r="C60" i="3"/>
  <c r="X59" i="3"/>
  <c r="W59" i="3"/>
  <c r="V59" i="3"/>
  <c r="U59" i="3"/>
  <c r="T59" i="3"/>
  <c r="R59" i="3"/>
  <c r="P59" i="3"/>
  <c r="O59" i="3"/>
  <c r="N59" i="3"/>
  <c r="M59" i="3"/>
  <c r="L59" i="3"/>
  <c r="K59" i="3"/>
  <c r="J59" i="3"/>
  <c r="I59" i="3"/>
  <c r="H59" i="3"/>
  <c r="G59" i="3"/>
  <c r="F59" i="3"/>
  <c r="C59" i="3"/>
  <c r="X58" i="3"/>
  <c r="W58" i="3"/>
  <c r="V58" i="3"/>
  <c r="U58" i="3"/>
  <c r="T58" i="3"/>
  <c r="P58" i="3"/>
  <c r="O58" i="3"/>
  <c r="N58" i="3"/>
  <c r="M58" i="3"/>
  <c r="L58" i="3"/>
  <c r="K58" i="3"/>
  <c r="J58" i="3"/>
  <c r="I58" i="3"/>
  <c r="H58" i="3"/>
  <c r="G58" i="3"/>
  <c r="F58" i="3"/>
  <c r="C58" i="3"/>
  <c r="X57" i="3"/>
  <c r="W57" i="3"/>
  <c r="V57" i="3"/>
  <c r="U57" i="3"/>
  <c r="T57" i="3"/>
  <c r="R57" i="3"/>
  <c r="P57" i="3"/>
  <c r="O57" i="3"/>
  <c r="N57" i="3"/>
  <c r="L57" i="3"/>
  <c r="K57" i="3"/>
  <c r="J57" i="3"/>
  <c r="M57" i="3" s="1"/>
  <c r="I57" i="3"/>
  <c r="H57" i="3"/>
  <c r="G57" i="3"/>
  <c r="F57" i="3"/>
  <c r="C57" i="3"/>
  <c r="X56" i="3"/>
  <c r="W56" i="3"/>
  <c r="V56" i="3"/>
  <c r="U56" i="3"/>
  <c r="T56" i="3"/>
  <c r="R56" i="3"/>
  <c r="P56" i="3"/>
  <c r="O56" i="3"/>
  <c r="N56" i="3"/>
  <c r="M56" i="3"/>
  <c r="L56" i="3"/>
  <c r="K56" i="3"/>
  <c r="J56" i="3"/>
  <c r="I56" i="3"/>
  <c r="H56" i="3"/>
  <c r="G56" i="3"/>
  <c r="F56" i="3"/>
  <c r="C56" i="3"/>
  <c r="X55" i="3"/>
  <c r="W55" i="3"/>
  <c r="V55" i="3"/>
  <c r="U55" i="3"/>
  <c r="T55" i="3"/>
  <c r="R55" i="3"/>
  <c r="P55" i="3"/>
  <c r="O55" i="3"/>
  <c r="N55" i="3"/>
  <c r="L55" i="3"/>
  <c r="K55" i="3"/>
  <c r="J55" i="3"/>
  <c r="M55" i="3" s="1"/>
  <c r="I55" i="3"/>
  <c r="H55" i="3"/>
  <c r="G55" i="3"/>
  <c r="F55" i="3"/>
  <c r="C55" i="3"/>
  <c r="X54" i="3"/>
  <c r="W54" i="3"/>
  <c r="V54" i="3"/>
  <c r="U54" i="3"/>
  <c r="T54" i="3"/>
  <c r="R54" i="3"/>
  <c r="P54" i="3"/>
  <c r="O54" i="3"/>
  <c r="N54" i="3"/>
  <c r="M54" i="3"/>
  <c r="L54" i="3"/>
  <c r="K54" i="3"/>
  <c r="J54" i="3"/>
  <c r="I54" i="3"/>
  <c r="H54" i="3"/>
  <c r="G54" i="3"/>
  <c r="F54" i="3"/>
  <c r="C54" i="3"/>
  <c r="X53" i="3"/>
  <c r="W53" i="3"/>
  <c r="V53" i="3"/>
  <c r="U53" i="3"/>
  <c r="T53" i="3"/>
  <c r="R53" i="3"/>
  <c r="P53" i="3"/>
  <c r="O53" i="3"/>
  <c r="N53" i="3"/>
  <c r="L53" i="3"/>
  <c r="K53" i="3"/>
  <c r="J53" i="3"/>
  <c r="M53" i="3" s="1"/>
  <c r="I53" i="3"/>
  <c r="H53" i="3"/>
  <c r="G53" i="3"/>
  <c r="F53" i="3"/>
  <c r="C53" i="3"/>
  <c r="X52" i="3"/>
  <c r="W52" i="3"/>
  <c r="V52" i="3"/>
  <c r="U52" i="3"/>
  <c r="T52" i="3"/>
  <c r="R52" i="3"/>
  <c r="P52" i="3"/>
  <c r="O52" i="3"/>
  <c r="N52" i="3"/>
  <c r="M52" i="3"/>
  <c r="L52" i="3"/>
  <c r="K52" i="3"/>
  <c r="J52" i="3"/>
  <c r="I52" i="3"/>
  <c r="H52" i="3"/>
  <c r="G52" i="3"/>
  <c r="F52" i="3"/>
  <c r="C52" i="3"/>
  <c r="X51" i="3"/>
  <c r="W51" i="3"/>
  <c r="V51" i="3"/>
  <c r="U51" i="3"/>
  <c r="T51" i="3"/>
  <c r="R51" i="3"/>
  <c r="P51" i="3"/>
  <c r="O51" i="3"/>
  <c r="N51" i="3"/>
  <c r="L51" i="3"/>
  <c r="K51" i="3"/>
  <c r="J51" i="3"/>
  <c r="M51" i="3" s="1"/>
  <c r="I51" i="3"/>
  <c r="H51" i="3"/>
  <c r="G51" i="3"/>
  <c r="F51" i="3"/>
  <c r="C51" i="3"/>
  <c r="X50" i="3"/>
  <c r="W50" i="3"/>
  <c r="V50" i="3"/>
  <c r="U50" i="3"/>
  <c r="T50" i="3"/>
  <c r="R50" i="3"/>
  <c r="P50" i="3"/>
  <c r="O50" i="3"/>
  <c r="N50" i="3"/>
  <c r="M50" i="3"/>
  <c r="L50" i="3"/>
  <c r="K50" i="3"/>
  <c r="J50" i="3"/>
  <c r="I50" i="3"/>
  <c r="H50" i="3"/>
  <c r="G50" i="3"/>
  <c r="F50" i="3"/>
  <c r="C50" i="3"/>
  <c r="X48" i="3"/>
  <c r="W48" i="3"/>
  <c r="V48" i="3"/>
  <c r="U48" i="3"/>
  <c r="T48" i="3"/>
  <c r="R48" i="3"/>
  <c r="P48" i="3"/>
  <c r="O48" i="3"/>
  <c r="N48" i="3"/>
  <c r="L48" i="3"/>
  <c r="K48" i="3"/>
  <c r="J48" i="3"/>
  <c r="M48" i="3" s="1"/>
  <c r="I48" i="3"/>
  <c r="H48" i="3"/>
  <c r="G48" i="3"/>
  <c r="F48" i="3"/>
  <c r="C48" i="3"/>
  <c r="X47" i="3"/>
  <c r="W47" i="3"/>
  <c r="V47" i="3"/>
  <c r="U47" i="3"/>
  <c r="T47" i="3"/>
  <c r="R47" i="3"/>
  <c r="P47" i="3"/>
  <c r="O47" i="3"/>
  <c r="N47" i="3"/>
  <c r="M47" i="3"/>
  <c r="L47" i="3"/>
  <c r="K47" i="3"/>
  <c r="J47" i="3"/>
  <c r="I47" i="3"/>
  <c r="H47" i="3"/>
  <c r="G47" i="3"/>
  <c r="F47" i="3"/>
  <c r="C47" i="3"/>
  <c r="X46" i="3"/>
  <c r="W46" i="3"/>
  <c r="V46" i="3"/>
  <c r="U46" i="3"/>
  <c r="T46" i="3"/>
  <c r="R46" i="3"/>
  <c r="P46" i="3"/>
  <c r="O46" i="3"/>
  <c r="N46" i="3"/>
  <c r="L46" i="3"/>
  <c r="K46" i="3"/>
  <c r="J46" i="3"/>
  <c r="M46" i="3" s="1"/>
  <c r="I46" i="3"/>
  <c r="H46" i="3"/>
  <c r="G46" i="3"/>
  <c r="F46" i="3"/>
  <c r="C46" i="3"/>
  <c r="X45" i="3"/>
  <c r="W45" i="3"/>
  <c r="V45" i="3"/>
  <c r="U45" i="3"/>
  <c r="T45" i="3"/>
  <c r="R45" i="3"/>
  <c r="P45" i="3"/>
  <c r="O45" i="3"/>
  <c r="N45" i="3"/>
  <c r="M45" i="3"/>
  <c r="L45" i="3"/>
  <c r="K45" i="3"/>
  <c r="J45" i="3"/>
  <c r="I45" i="3"/>
  <c r="H45" i="3"/>
  <c r="G45" i="3"/>
  <c r="F45" i="3"/>
  <c r="C45" i="3"/>
  <c r="X44" i="3"/>
  <c r="W44" i="3"/>
  <c r="V44" i="3"/>
  <c r="U44" i="3"/>
  <c r="T44" i="3"/>
  <c r="R44" i="3"/>
  <c r="P44" i="3"/>
  <c r="O44" i="3"/>
  <c r="N44" i="3"/>
  <c r="L44" i="3"/>
  <c r="K44" i="3"/>
  <c r="J44" i="3"/>
  <c r="M44" i="3" s="1"/>
  <c r="I44" i="3"/>
  <c r="H44" i="3"/>
  <c r="G44" i="3"/>
  <c r="F44" i="3"/>
  <c r="C44" i="3"/>
  <c r="X43" i="3"/>
  <c r="W43" i="3"/>
  <c r="V43" i="3"/>
  <c r="U43" i="3"/>
  <c r="T43" i="3"/>
  <c r="R43" i="3"/>
  <c r="P43" i="3"/>
  <c r="O43" i="3"/>
  <c r="N43" i="3"/>
  <c r="M43" i="3"/>
  <c r="L43" i="3"/>
  <c r="K43" i="3"/>
  <c r="J43" i="3"/>
  <c r="I43" i="3"/>
  <c r="H43" i="3"/>
  <c r="G43" i="3"/>
  <c r="F43" i="3"/>
  <c r="C43" i="3"/>
  <c r="X42" i="3"/>
  <c r="W42" i="3"/>
  <c r="V42" i="3"/>
  <c r="U42" i="3"/>
  <c r="T42" i="3"/>
  <c r="R42" i="3"/>
  <c r="P42" i="3"/>
  <c r="O42" i="3"/>
  <c r="N42" i="3"/>
  <c r="L42" i="3"/>
  <c r="K42" i="3"/>
  <c r="J42" i="3"/>
  <c r="M42" i="3" s="1"/>
  <c r="I42" i="3"/>
  <c r="H42" i="3"/>
  <c r="G42" i="3"/>
  <c r="F42" i="3"/>
  <c r="C42" i="3"/>
  <c r="X41" i="3"/>
  <c r="W41" i="3"/>
  <c r="V41" i="3"/>
  <c r="U41" i="3"/>
  <c r="T41" i="3"/>
  <c r="R41" i="3"/>
  <c r="P41" i="3"/>
  <c r="O41" i="3"/>
  <c r="N41" i="3"/>
  <c r="M41" i="3"/>
  <c r="L41" i="3"/>
  <c r="K41" i="3"/>
  <c r="J41" i="3"/>
  <c r="I41" i="3"/>
  <c r="H41" i="3"/>
  <c r="G41" i="3"/>
  <c r="F41" i="3"/>
  <c r="C41" i="3"/>
  <c r="X40" i="3"/>
  <c r="W40" i="3"/>
  <c r="V40" i="3"/>
  <c r="U40" i="3"/>
  <c r="T40" i="3"/>
  <c r="R40" i="3"/>
  <c r="P40" i="3"/>
  <c r="O40" i="3"/>
  <c r="N40" i="3"/>
  <c r="L40" i="3"/>
  <c r="K40" i="3"/>
  <c r="J40" i="3"/>
  <c r="M40" i="3" s="1"/>
  <c r="I40" i="3"/>
  <c r="H40" i="3"/>
  <c r="G40" i="3"/>
  <c r="F40" i="3"/>
  <c r="C40" i="3"/>
  <c r="X39" i="3"/>
  <c r="W39" i="3"/>
  <c r="V39" i="3"/>
  <c r="U39" i="3"/>
  <c r="T39" i="3"/>
  <c r="R39" i="3"/>
  <c r="P39" i="3"/>
  <c r="O39" i="3"/>
  <c r="N39" i="3"/>
  <c r="M39" i="3"/>
  <c r="L39" i="3"/>
  <c r="K39" i="3"/>
  <c r="J39" i="3"/>
  <c r="I39" i="3"/>
  <c r="H39" i="3"/>
  <c r="G39" i="3"/>
  <c r="F39" i="3"/>
  <c r="C39" i="3"/>
  <c r="X38" i="3"/>
  <c r="W38" i="3"/>
  <c r="V38" i="3"/>
  <c r="U38" i="3"/>
  <c r="T38" i="3"/>
  <c r="R38" i="3"/>
  <c r="P38" i="3"/>
  <c r="O38" i="3"/>
  <c r="N38" i="3"/>
  <c r="L38" i="3"/>
  <c r="K38" i="3"/>
  <c r="J38" i="3"/>
  <c r="M38" i="3" s="1"/>
  <c r="I38" i="3"/>
  <c r="H38" i="3"/>
  <c r="G38" i="3"/>
  <c r="F38" i="3"/>
  <c r="C38" i="3"/>
  <c r="X37" i="3"/>
  <c r="W37" i="3"/>
  <c r="V37" i="3"/>
  <c r="U37" i="3"/>
  <c r="T37" i="3"/>
  <c r="R37" i="3"/>
  <c r="P37" i="3"/>
  <c r="O37" i="3"/>
  <c r="N37" i="3"/>
  <c r="M37" i="3"/>
  <c r="L37" i="3"/>
  <c r="K37" i="3"/>
  <c r="J37" i="3"/>
  <c r="I37" i="3"/>
  <c r="H37" i="3"/>
  <c r="G37" i="3"/>
  <c r="F37" i="3"/>
  <c r="C37" i="3"/>
  <c r="X36" i="3"/>
  <c r="W36" i="3"/>
  <c r="V36" i="3"/>
  <c r="U36" i="3"/>
  <c r="T36" i="3"/>
  <c r="R36" i="3"/>
  <c r="P36" i="3"/>
  <c r="O36" i="3"/>
  <c r="N36" i="3"/>
  <c r="L36" i="3"/>
  <c r="K36" i="3"/>
  <c r="J36" i="3"/>
  <c r="M36" i="3" s="1"/>
  <c r="I36" i="3"/>
  <c r="H36" i="3"/>
  <c r="G36" i="3"/>
  <c r="F36" i="3"/>
  <c r="C36" i="3"/>
  <c r="X35" i="3"/>
  <c r="W35" i="3"/>
  <c r="V35" i="3"/>
  <c r="U35" i="3"/>
  <c r="T35" i="3"/>
  <c r="R35" i="3"/>
  <c r="P35" i="3"/>
  <c r="O35" i="3"/>
  <c r="N35" i="3"/>
  <c r="M35" i="3"/>
  <c r="L35" i="3"/>
  <c r="K35" i="3"/>
  <c r="J35" i="3"/>
  <c r="I35" i="3"/>
  <c r="H35" i="3"/>
  <c r="G35" i="3"/>
  <c r="F35" i="3"/>
  <c r="C35" i="3"/>
  <c r="X34" i="3"/>
  <c r="W34" i="3"/>
  <c r="V34" i="3"/>
  <c r="U34" i="3"/>
  <c r="T34" i="3"/>
  <c r="R34" i="3"/>
  <c r="P34" i="3"/>
  <c r="O34" i="3"/>
  <c r="N34" i="3"/>
  <c r="L34" i="3"/>
  <c r="K34" i="3"/>
  <c r="J34" i="3"/>
  <c r="M34" i="3" s="1"/>
  <c r="I34" i="3"/>
  <c r="H34" i="3"/>
  <c r="G34" i="3"/>
  <c r="F34" i="3"/>
  <c r="C34" i="3"/>
  <c r="X33" i="3"/>
  <c r="W33" i="3"/>
  <c r="V33" i="3"/>
  <c r="U33" i="3"/>
  <c r="T33" i="3"/>
  <c r="R33" i="3"/>
  <c r="P33" i="3"/>
  <c r="O33" i="3"/>
  <c r="N33" i="3"/>
  <c r="M33" i="3"/>
  <c r="L33" i="3"/>
  <c r="K33" i="3"/>
  <c r="J33" i="3"/>
  <c r="I33" i="3"/>
  <c r="H33" i="3"/>
  <c r="G33" i="3"/>
  <c r="F33" i="3"/>
  <c r="C33" i="3"/>
  <c r="X32" i="3"/>
  <c r="W32" i="3"/>
  <c r="V32" i="3"/>
  <c r="U32" i="3"/>
  <c r="T32" i="3"/>
  <c r="R32" i="3"/>
  <c r="P32" i="3"/>
  <c r="O32" i="3"/>
  <c r="N32" i="3"/>
  <c r="L32" i="3"/>
  <c r="K32" i="3"/>
  <c r="J32" i="3"/>
  <c r="M32" i="3" s="1"/>
  <c r="I32" i="3"/>
  <c r="H32" i="3"/>
  <c r="G32" i="3"/>
  <c r="F32" i="3"/>
  <c r="C32" i="3"/>
  <c r="X31" i="3"/>
  <c r="W31" i="3"/>
  <c r="V31" i="3"/>
  <c r="U31" i="3"/>
  <c r="T31" i="3"/>
  <c r="R31" i="3"/>
  <c r="P31" i="3"/>
  <c r="O31" i="3"/>
  <c r="N31" i="3"/>
  <c r="M31" i="3"/>
  <c r="L31" i="3"/>
  <c r="K31" i="3"/>
  <c r="J31" i="3"/>
  <c r="I31" i="3"/>
  <c r="H31" i="3"/>
  <c r="G31" i="3"/>
  <c r="F31" i="3"/>
  <c r="C31" i="3"/>
  <c r="X30" i="3"/>
  <c r="W30" i="3"/>
  <c r="V30" i="3"/>
  <c r="U30" i="3"/>
  <c r="T30" i="3"/>
  <c r="R30" i="3"/>
  <c r="P30" i="3"/>
  <c r="O30" i="3"/>
  <c r="N30" i="3"/>
  <c r="L30" i="3"/>
  <c r="K30" i="3"/>
  <c r="J30" i="3"/>
  <c r="M30" i="3" s="1"/>
  <c r="I30" i="3"/>
  <c r="H30" i="3"/>
  <c r="G30" i="3"/>
  <c r="F30" i="3"/>
  <c r="C30" i="3"/>
  <c r="X29" i="3"/>
  <c r="W29" i="3"/>
  <c r="V29" i="3"/>
  <c r="U29" i="3"/>
  <c r="T29" i="3"/>
  <c r="R29" i="3"/>
  <c r="P29" i="3"/>
  <c r="O29" i="3"/>
  <c r="N29" i="3"/>
  <c r="M29" i="3"/>
  <c r="L29" i="3"/>
  <c r="K29" i="3"/>
  <c r="J29" i="3"/>
  <c r="I29" i="3"/>
  <c r="H29" i="3"/>
  <c r="G29" i="3"/>
  <c r="F29" i="3"/>
  <c r="C29" i="3"/>
  <c r="X28" i="3"/>
  <c r="W28" i="3"/>
  <c r="V28" i="3"/>
  <c r="U28" i="3"/>
  <c r="T28" i="3"/>
  <c r="R28" i="3"/>
  <c r="P28" i="3"/>
  <c r="O28" i="3"/>
  <c r="N28" i="3"/>
  <c r="L28" i="3"/>
  <c r="K28" i="3"/>
  <c r="J28" i="3"/>
  <c r="M28" i="3" s="1"/>
  <c r="I28" i="3"/>
  <c r="H28" i="3"/>
  <c r="G28" i="3"/>
  <c r="F28" i="3"/>
  <c r="C28" i="3"/>
  <c r="X27" i="3"/>
  <c r="W27" i="3"/>
  <c r="V27" i="3"/>
  <c r="U27" i="3"/>
  <c r="T27" i="3"/>
  <c r="R27" i="3"/>
  <c r="P27" i="3"/>
  <c r="O27" i="3"/>
  <c r="N27" i="3"/>
  <c r="M27" i="3"/>
  <c r="L27" i="3"/>
  <c r="K27" i="3"/>
  <c r="J27" i="3"/>
  <c r="I27" i="3"/>
  <c r="H27" i="3"/>
  <c r="G27" i="3"/>
  <c r="F27" i="3"/>
  <c r="C27" i="3"/>
  <c r="X26" i="3"/>
  <c r="W26" i="3"/>
  <c r="V26" i="3"/>
  <c r="U26" i="3"/>
  <c r="T26" i="3"/>
  <c r="R26" i="3"/>
  <c r="P26" i="3"/>
  <c r="O26" i="3"/>
  <c r="N26" i="3"/>
  <c r="L26" i="3"/>
  <c r="K26" i="3"/>
  <c r="J26" i="3"/>
  <c r="M26" i="3" s="1"/>
  <c r="I26" i="3"/>
  <c r="H26" i="3"/>
  <c r="G26" i="3"/>
  <c r="F26" i="3"/>
  <c r="C26" i="3"/>
  <c r="X25" i="3"/>
  <c r="W25" i="3"/>
  <c r="V25" i="3"/>
  <c r="U25" i="3"/>
  <c r="T25" i="3"/>
  <c r="R25" i="3"/>
  <c r="P25" i="3"/>
  <c r="O25" i="3"/>
  <c r="N25" i="3"/>
  <c r="M25" i="3"/>
  <c r="L25" i="3"/>
  <c r="K25" i="3"/>
  <c r="J25" i="3"/>
  <c r="I25" i="3"/>
  <c r="H25" i="3"/>
  <c r="G25" i="3"/>
  <c r="F25" i="3"/>
  <c r="C25" i="3"/>
  <c r="X24" i="3"/>
  <c r="W24" i="3"/>
  <c r="V24" i="3"/>
  <c r="U24" i="3"/>
  <c r="T24" i="3"/>
  <c r="R24" i="3"/>
  <c r="P24" i="3"/>
  <c r="O24" i="3"/>
  <c r="N24" i="3"/>
  <c r="L24" i="3"/>
  <c r="K24" i="3"/>
  <c r="J24" i="3"/>
  <c r="M24" i="3" s="1"/>
  <c r="I24" i="3"/>
  <c r="H24" i="3"/>
  <c r="G24" i="3"/>
  <c r="F24" i="3"/>
  <c r="C24" i="3"/>
  <c r="X23" i="3"/>
  <c r="W23" i="3"/>
  <c r="V23" i="3"/>
  <c r="U23" i="3"/>
  <c r="T23" i="3"/>
  <c r="R23" i="3"/>
  <c r="P23" i="3"/>
  <c r="O23" i="3"/>
  <c r="N23" i="3"/>
  <c r="M23" i="3"/>
  <c r="L23" i="3"/>
  <c r="K23" i="3"/>
  <c r="J23" i="3"/>
  <c r="I23" i="3"/>
  <c r="H23" i="3"/>
  <c r="G23" i="3"/>
  <c r="F23" i="3"/>
  <c r="C23" i="3"/>
  <c r="X22" i="3"/>
  <c r="W22" i="3"/>
  <c r="V22" i="3"/>
  <c r="U22" i="3"/>
  <c r="T22" i="3"/>
  <c r="R22" i="3"/>
  <c r="P22" i="3"/>
  <c r="O22" i="3"/>
  <c r="N22" i="3"/>
  <c r="L22" i="3"/>
  <c r="K22" i="3"/>
  <c r="J22" i="3"/>
  <c r="M22" i="3" s="1"/>
  <c r="I22" i="3"/>
  <c r="H22" i="3"/>
  <c r="G22" i="3"/>
  <c r="F22" i="3"/>
  <c r="C22" i="3"/>
  <c r="X21" i="3"/>
  <c r="W21" i="3"/>
  <c r="V21" i="3"/>
  <c r="U21" i="3"/>
  <c r="T21" i="3"/>
  <c r="R21" i="3"/>
  <c r="P21" i="3"/>
  <c r="O21" i="3"/>
  <c r="N21" i="3"/>
  <c r="M21" i="3"/>
  <c r="L21" i="3"/>
  <c r="K21" i="3"/>
  <c r="J21" i="3"/>
  <c r="I21" i="3"/>
  <c r="H21" i="3"/>
  <c r="G21" i="3"/>
  <c r="F21" i="3"/>
  <c r="C21" i="3"/>
  <c r="X20" i="3"/>
  <c r="W20" i="3"/>
  <c r="V20" i="3"/>
  <c r="U20" i="3"/>
  <c r="T20" i="3"/>
  <c r="R20" i="3"/>
  <c r="P20" i="3"/>
  <c r="O20" i="3"/>
  <c r="N20" i="3"/>
  <c r="L20" i="3"/>
  <c r="K20" i="3"/>
  <c r="J20" i="3"/>
  <c r="M20" i="3" s="1"/>
  <c r="I20" i="3"/>
  <c r="H20" i="3"/>
  <c r="G20" i="3"/>
  <c r="F20" i="3"/>
  <c r="C20" i="3"/>
  <c r="X19" i="3"/>
  <c r="W19" i="3"/>
  <c r="V19" i="3"/>
  <c r="U19" i="3"/>
  <c r="T19" i="3"/>
  <c r="R19" i="3"/>
  <c r="P19" i="3"/>
  <c r="O19" i="3"/>
  <c r="N19" i="3"/>
  <c r="M19" i="3"/>
  <c r="L19" i="3"/>
  <c r="K19" i="3"/>
  <c r="J19" i="3"/>
  <c r="I19" i="3"/>
  <c r="H19" i="3"/>
  <c r="G19" i="3"/>
  <c r="F19" i="3"/>
  <c r="C19" i="3"/>
  <c r="X18" i="3"/>
  <c r="W18" i="3"/>
  <c r="V18" i="3"/>
  <c r="U18" i="3"/>
  <c r="T18" i="3"/>
  <c r="R18" i="3"/>
  <c r="P18" i="3"/>
  <c r="O18" i="3"/>
  <c r="N18" i="3"/>
  <c r="L18" i="3"/>
  <c r="K18" i="3"/>
  <c r="J18" i="3"/>
  <c r="M18" i="3" s="1"/>
  <c r="I18" i="3"/>
  <c r="H18" i="3"/>
  <c r="G18" i="3"/>
  <c r="F18" i="3"/>
  <c r="C18" i="3"/>
  <c r="X17" i="3"/>
  <c r="W17" i="3"/>
  <c r="V17" i="3"/>
  <c r="U17" i="3"/>
  <c r="T17" i="3"/>
  <c r="R17" i="3"/>
  <c r="P17" i="3"/>
  <c r="O17" i="3"/>
  <c r="N17" i="3"/>
  <c r="M17" i="3"/>
  <c r="L17" i="3"/>
  <c r="K17" i="3"/>
  <c r="J17" i="3"/>
  <c r="I17" i="3"/>
  <c r="H17" i="3"/>
  <c r="G17" i="3"/>
  <c r="F17" i="3"/>
  <c r="C17" i="3"/>
  <c r="X16" i="3"/>
  <c r="W16" i="3"/>
  <c r="V16" i="3"/>
  <c r="U16" i="3"/>
  <c r="T16" i="3"/>
  <c r="R16" i="3"/>
  <c r="P16" i="3"/>
  <c r="O16" i="3"/>
  <c r="N16" i="3"/>
  <c r="L16" i="3"/>
  <c r="K16" i="3"/>
  <c r="J16" i="3"/>
  <c r="M16" i="3" s="1"/>
  <c r="I16" i="3"/>
  <c r="H16" i="3"/>
  <c r="G16" i="3"/>
  <c r="F16" i="3"/>
  <c r="C16" i="3"/>
  <c r="X15" i="3"/>
  <c r="W15" i="3"/>
  <c r="V15" i="3"/>
  <c r="U15" i="3"/>
  <c r="T15" i="3"/>
  <c r="R15" i="3"/>
  <c r="P15" i="3"/>
  <c r="O15" i="3"/>
  <c r="N15" i="3"/>
  <c r="M15" i="3"/>
  <c r="L15" i="3"/>
  <c r="K15" i="3"/>
  <c r="J15" i="3"/>
  <c r="I15" i="3"/>
  <c r="H15" i="3"/>
  <c r="G15" i="3"/>
  <c r="F15" i="3"/>
  <c r="C15" i="3"/>
  <c r="X14" i="3"/>
  <c r="W14" i="3"/>
  <c r="V14" i="3"/>
  <c r="U14" i="3"/>
  <c r="T14" i="3"/>
  <c r="R14" i="3"/>
  <c r="P14" i="3"/>
  <c r="O14" i="3"/>
  <c r="N14" i="3"/>
  <c r="L14" i="3"/>
  <c r="K14" i="3"/>
  <c r="J14" i="3"/>
  <c r="M14" i="3" s="1"/>
  <c r="I14" i="3"/>
  <c r="H14" i="3"/>
  <c r="G14" i="3"/>
  <c r="F14" i="3"/>
  <c r="C14" i="3"/>
  <c r="X13" i="3"/>
  <c r="W13" i="3"/>
  <c r="V13" i="3"/>
  <c r="U13" i="3"/>
  <c r="T13" i="3"/>
  <c r="R13" i="3"/>
  <c r="P13" i="3"/>
  <c r="O13" i="3"/>
  <c r="N13" i="3"/>
  <c r="M13" i="3"/>
  <c r="L13" i="3"/>
  <c r="K13" i="3"/>
  <c r="J13" i="3"/>
  <c r="I13" i="3"/>
  <c r="H13" i="3"/>
  <c r="G13" i="3"/>
  <c r="F13" i="3"/>
  <c r="C13" i="3"/>
  <c r="X12" i="3"/>
  <c r="W12" i="3"/>
  <c r="V12" i="3"/>
  <c r="U12" i="3"/>
  <c r="T12" i="3"/>
  <c r="R12" i="3"/>
  <c r="P12" i="3"/>
  <c r="O12" i="3"/>
  <c r="N12" i="3"/>
  <c r="L12" i="3"/>
  <c r="K12" i="3"/>
  <c r="J12" i="3"/>
  <c r="M12" i="3" s="1"/>
  <c r="I12" i="3"/>
  <c r="H12" i="3"/>
  <c r="G12" i="3"/>
  <c r="F12" i="3"/>
  <c r="C12" i="3"/>
  <c r="X8" i="3"/>
  <c r="A8" i="3"/>
  <c r="A74" i="2"/>
  <c r="T67" i="2"/>
  <c r="S67" i="2"/>
  <c r="R67" i="2"/>
  <c r="W67" i="2" s="1"/>
  <c r="C67" i="2"/>
  <c r="T66" i="2"/>
  <c r="S66" i="2"/>
  <c r="R66" i="2"/>
  <c r="W66" i="2" s="1"/>
  <c r="C66" i="2"/>
  <c r="T65" i="2"/>
  <c r="S65" i="2"/>
  <c r="R65" i="2"/>
  <c r="W65" i="2" s="1"/>
  <c r="C65" i="2"/>
  <c r="T64" i="2"/>
  <c r="S64" i="2"/>
  <c r="R64" i="2"/>
  <c r="W64" i="2" s="1"/>
  <c r="C64" i="2"/>
  <c r="T63" i="2"/>
  <c r="S63" i="2"/>
  <c r="R63" i="2"/>
  <c r="W63" i="2" s="1"/>
  <c r="C63" i="2"/>
  <c r="T62" i="2"/>
  <c r="S62" i="2"/>
  <c r="R62" i="2"/>
  <c r="W62" i="2" s="1"/>
  <c r="C62" i="2"/>
  <c r="Z60" i="2"/>
  <c r="Y60" i="2"/>
  <c r="X60" i="2"/>
  <c r="W60" i="2"/>
  <c r="T60" i="2"/>
  <c r="S60" i="2"/>
  <c r="R60" i="2"/>
  <c r="V60" i="2" s="1"/>
  <c r="P60" i="2"/>
  <c r="O60" i="2"/>
  <c r="N60" i="2"/>
  <c r="L60" i="2"/>
  <c r="K60" i="2"/>
  <c r="J60" i="2"/>
  <c r="M60" i="2" s="1"/>
  <c r="I60" i="2"/>
  <c r="H60" i="2"/>
  <c r="G60" i="2"/>
  <c r="F60" i="2"/>
  <c r="C60" i="2"/>
  <c r="Z59" i="2"/>
  <c r="Y59" i="2"/>
  <c r="X59" i="2"/>
  <c r="W59" i="2"/>
  <c r="T59" i="2"/>
  <c r="S59" i="2"/>
  <c r="R59" i="2"/>
  <c r="V59" i="2" s="1"/>
  <c r="P59" i="2"/>
  <c r="O59" i="2"/>
  <c r="N59" i="2"/>
  <c r="L59" i="2"/>
  <c r="K59" i="2"/>
  <c r="J59" i="2"/>
  <c r="M59" i="2" s="1"/>
  <c r="I59" i="2"/>
  <c r="H59" i="2"/>
  <c r="G59" i="2"/>
  <c r="F59" i="2"/>
  <c r="C59" i="2"/>
  <c r="Z58" i="2"/>
  <c r="Y58" i="2"/>
  <c r="X58" i="2"/>
  <c r="W58" i="2"/>
  <c r="T58" i="2"/>
  <c r="S58" i="2"/>
  <c r="R58" i="2"/>
  <c r="V58" i="2" s="1"/>
  <c r="P58" i="2"/>
  <c r="O58" i="2"/>
  <c r="N58" i="2"/>
  <c r="L58" i="2"/>
  <c r="K58" i="2"/>
  <c r="J58" i="2"/>
  <c r="M58" i="2" s="1"/>
  <c r="I58" i="2"/>
  <c r="H58" i="2"/>
  <c r="G58" i="2"/>
  <c r="F58" i="2"/>
  <c r="C58" i="2"/>
  <c r="Z57" i="2"/>
  <c r="Y57" i="2"/>
  <c r="X57" i="2"/>
  <c r="W57" i="2"/>
  <c r="T57" i="2"/>
  <c r="S57" i="2"/>
  <c r="R57" i="2"/>
  <c r="V57" i="2" s="1"/>
  <c r="P57" i="2"/>
  <c r="O57" i="2"/>
  <c r="N57" i="2"/>
  <c r="L57" i="2"/>
  <c r="K57" i="2"/>
  <c r="J57" i="2"/>
  <c r="M57" i="2" s="1"/>
  <c r="I57" i="2"/>
  <c r="H57" i="2"/>
  <c r="G57" i="2"/>
  <c r="F57" i="2"/>
  <c r="C57" i="2"/>
  <c r="Z56" i="2"/>
  <c r="Y56" i="2"/>
  <c r="X56" i="2"/>
  <c r="W56" i="2"/>
  <c r="T56" i="2"/>
  <c r="S56" i="2"/>
  <c r="R56" i="2"/>
  <c r="V56" i="2" s="1"/>
  <c r="P56" i="2"/>
  <c r="O56" i="2"/>
  <c r="N56" i="2"/>
  <c r="L56" i="2"/>
  <c r="K56" i="2"/>
  <c r="J56" i="2"/>
  <c r="M56" i="2" s="1"/>
  <c r="I56" i="2"/>
  <c r="H56" i="2"/>
  <c r="G56" i="2"/>
  <c r="F56" i="2"/>
  <c r="C56" i="2"/>
  <c r="Z55" i="2"/>
  <c r="Y55" i="2"/>
  <c r="X55" i="2"/>
  <c r="W55" i="2"/>
  <c r="V55" i="2"/>
  <c r="T55" i="2"/>
  <c r="S55" i="2"/>
  <c r="P55" i="2"/>
  <c r="O55" i="2"/>
  <c r="N55" i="2"/>
  <c r="M55" i="2"/>
  <c r="L55" i="2"/>
  <c r="K55" i="2"/>
  <c r="J55" i="2"/>
  <c r="I55" i="2"/>
  <c r="H55" i="2"/>
  <c r="G55" i="2"/>
  <c r="F55" i="2"/>
  <c r="C55" i="2"/>
  <c r="Z54" i="2"/>
  <c r="Y54" i="2"/>
  <c r="X54" i="2"/>
  <c r="W54" i="2"/>
  <c r="T54" i="2"/>
  <c r="S54" i="2"/>
  <c r="R54" i="2"/>
  <c r="V54" i="2" s="1"/>
  <c r="P54" i="2"/>
  <c r="O54" i="2"/>
  <c r="N54" i="2"/>
  <c r="M54" i="2"/>
  <c r="L54" i="2"/>
  <c r="K54" i="2"/>
  <c r="J54" i="2"/>
  <c r="I54" i="2"/>
  <c r="H54" i="2"/>
  <c r="G54" i="2"/>
  <c r="F54" i="2"/>
  <c r="C54" i="2"/>
  <c r="Z53" i="2"/>
  <c r="Y53" i="2"/>
  <c r="X53" i="2"/>
  <c r="W53" i="2"/>
  <c r="T53" i="2"/>
  <c r="S53" i="2"/>
  <c r="R53" i="2"/>
  <c r="V53" i="2" s="1"/>
  <c r="P53" i="2"/>
  <c r="O53" i="2"/>
  <c r="N53" i="2"/>
  <c r="M53" i="2"/>
  <c r="L53" i="2"/>
  <c r="K53" i="2"/>
  <c r="J53" i="2"/>
  <c r="I53" i="2"/>
  <c r="H53" i="2"/>
  <c r="G53" i="2"/>
  <c r="F53" i="2"/>
  <c r="C53" i="2"/>
  <c r="Z52" i="2"/>
  <c r="Y52" i="2"/>
  <c r="X52" i="2"/>
  <c r="W52" i="2"/>
  <c r="T52" i="2"/>
  <c r="S52" i="2"/>
  <c r="R52" i="2"/>
  <c r="V52" i="2" s="1"/>
  <c r="P52" i="2"/>
  <c r="O52" i="2"/>
  <c r="N52" i="2"/>
  <c r="M52" i="2"/>
  <c r="L52" i="2"/>
  <c r="K52" i="2"/>
  <c r="J52" i="2"/>
  <c r="I52" i="2"/>
  <c r="H52" i="2"/>
  <c r="G52" i="2"/>
  <c r="F52" i="2"/>
  <c r="C52" i="2"/>
  <c r="Z51" i="2"/>
  <c r="Y51" i="2"/>
  <c r="X51" i="2"/>
  <c r="W51" i="2"/>
  <c r="T51" i="2"/>
  <c r="S51" i="2"/>
  <c r="R51" i="2"/>
  <c r="V51" i="2" s="1"/>
  <c r="P51" i="2"/>
  <c r="O51" i="2"/>
  <c r="N51" i="2"/>
  <c r="M51" i="2"/>
  <c r="L51" i="2"/>
  <c r="K51" i="2"/>
  <c r="J51" i="2"/>
  <c r="I51" i="2"/>
  <c r="H51" i="2"/>
  <c r="G51" i="2"/>
  <c r="F51" i="2"/>
  <c r="C51" i="2"/>
  <c r="Z50" i="2"/>
  <c r="Y50" i="2"/>
  <c r="X50" i="2"/>
  <c r="W50" i="2"/>
  <c r="T50" i="2"/>
  <c r="S50" i="2"/>
  <c r="R50" i="2"/>
  <c r="V50" i="2" s="1"/>
  <c r="P50" i="2"/>
  <c r="O50" i="2"/>
  <c r="N50" i="2"/>
  <c r="M50" i="2"/>
  <c r="L50" i="2"/>
  <c r="K50" i="2"/>
  <c r="J50" i="2"/>
  <c r="I50" i="2"/>
  <c r="H50" i="2"/>
  <c r="G50" i="2"/>
  <c r="F50" i="2"/>
  <c r="C50" i="2"/>
  <c r="Z49" i="2"/>
  <c r="Y49" i="2"/>
  <c r="X49" i="2"/>
  <c r="W49" i="2"/>
  <c r="T49" i="2"/>
  <c r="S49" i="2"/>
  <c r="R49" i="2"/>
  <c r="V49" i="2" s="1"/>
  <c r="P49" i="2"/>
  <c r="O49" i="2"/>
  <c r="N49" i="2"/>
  <c r="M49" i="2"/>
  <c r="L49" i="2"/>
  <c r="K49" i="2"/>
  <c r="J49" i="2"/>
  <c r="I49" i="2"/>
  <c r="H49" i="2"/>
  <c r="G49" i="2"/>
  <c r="F49" i="2"/>
  <c r="C49" i="2"/>
  <c r="Z48" i="2"/>
  <c r="Y48" i="2"/>
  <c r="X48" i="2"/>
  <c r="W48" i="2"/>
  <c r="T48" i="2"/>
  <c r="S48" i="2"/>
  <c r="R48" i="2"/>
  <c r="V48" i="2" s="1"/>
  <c r="P48" i="2"/>
  <c r="O48" i="2"/>
  <c r="N48" i="2"/>
  <c r="M48" i="2"/>
  <c r="L48" i="2"/>
  <c r="K48" i="2"/>
  <c r="J48" i="2"/>
  <c r="I48" i="2"/>
  <c r="H48" i="2"/>
  <c r="G48" i="2"/>
  <c r="F48" i="2"/>
  <c r="C48" i="2"/>
  <c r="Z47" i="2"/>
  <c r="Y47" i="2"/>
  <c r="X47" i="2"/>
  <c r="W47" i="2"/>
  <c r="T47" i="2"/>
  <c r="S47" i="2"/>
  <c r="R47" i="2"/>
  <c r="V47" i="2" s="1"/>
  <c r="P47" i="2"/>
  <c r="O47" i="2"/>
  <c r="N47" i="2"/>
  <c r="M47" i="2"/>
  <c r="L47" i="2"/>
  <c r="K47" i="2"/>
  <c r="J47" i="2"/>
  <c r="I47" i="2"/>
  <c r="H47" i="2"/>
  <c r="G47" i="2"/>
  <c r="F47" i="2"/>
  <c r="C47" i="2"/>
  <c r="Z46" i="2"/>
  <c r="Y46" i="2"/>
  <c r="X46" i="2"/>
  <c r="W46" i="2"/>
  <c r="T46" i="2"/>
  <c r="S46" i="2"/>
  <c r="R46" i="2"/>
  <c r="V46" i="2" s="1"/>
  <c r="P46" i="2"/>
  <c r="O46" i="2"/>
  <c r="N46" i="2"/>
  <c r="M46" i="2"/>
  <c r="L46" i="2"/>
  <c r="K46" i="2"/>
  <c r="J46" i="2"/>
  <c r="I46" i="2"/>
  <c r="H46" i="2"/>
  <c r="G46" i="2"/>
  <c r="F46" i="2"/>
  <c r="C46" i="2"/>
  <c r="Z45" i="2"/>
  <c r="Y45" i="2"/>
  <c r="X45" i="2"/>
  <c r="W45" i="2"/>
  <c r="T45" i="2"/>
  <c r="S45" i="2"/>
  <c r="R45" i="2"/>
  <c r="V45" i="2" s="1"/>
  <c r="P45" i="2"/>
  <c r="O45" i="2"/>
  <c r="N45" i="2"/>
  <c r="M45" i="2"/>
  <c r="L45" i="2"/>
  <c r="K45" i="2"/>
  <c r="J45" i="2"/>
  <c r="I45" i="2"/>
  <c r="H45" i="2"/>
  <c r="G45" i="2"/>
  <c r="F45" i="2"/>
  <c r="C45" i="2"/>
  <c r="Z44" i="2"/>
  <c r="Y44" i="2"/>
  <c r="X44" i="2"/>
  <c r="W44" i="2"/>
  <c r="T44" i="2"/>
  <c r="S44" i="2"/>
  <c r="R44" i="2"/>
  <c r="V44" i="2" s="1"/>
  <c r="P44" i="2"/>
  <c r="O44" i="2"/>
  <c r="N44" i="2"/>
  <c r="M44" i="2"/>
  <c r="L44" i="2"/>
  <c r="K44" i="2"/>
  <c r="J44" i="2"/>
  <c r="I44" i="2"/>
  <c r="H44" i="2"/>
  <c r="G44" i="2"/>
  <c r="F44" i="2"/>
  <c r="C44" i="2"/>
  <c r="Z43" i="2"/>
  <c r="Y43" i="2"/>
  <c r="X43" i="2"/>
  <c r="W43" i="2"/>
  <c r="T43" i="2"/>
  <c r="S43" i="2"/>
  <c r="R43" i="2"/>
  <c r="V43" i="2" s="1"/>
  <c r="P43" i="2"/>
  <c r="O43" i="2"/>
  <c r="N43" i="2"/>
  <c r="M43" i="2"/>
  <c r="L43" i="2"/>
  <c r="K43" i="2"/>
  <c r="J43" i="2"/>
  <c r="I43" i="2"/>
  <c r="H43" i="2"/>
  <c r="G43" i="2"/>
  <c r="F43" i="2"/>
  <c r="C43" i="2"/>
  <c r="Z42" i="2"/>
  <c r="Y42" i="2"/>
  <c r="X42" i="2"/>
  <c r="W42" i="2"/>
  <c r="T42" i="2"/>
  <c r="S42" i="2"/>
  <c r="R42" i="2"/>
  <c r="V42" i="2" s="1"/>
  <c r="P42" i="2"/>
  <c r="O42" i="2"/>
  <c r="N42" i="2"/>
  <c r="M42" i="2"/>
  <c r="L42" i="2"/>
  <c r="K42" i="2"/>
  <c r="J42" i="2"/>
  <c r="I42" i="2"/>
  <c r="H42" i="2"/>
  <c r="G42" i="2"/>
  <c r="F42" i="2"/>
  <c r="C42" i="2"/>
  <c r="Z41" i="2"/>
  <c r="Y41" i="2"/>
  <c r="X41" i="2"/>
  <c r="W41" i="2"/>
  <c r="T41" i="2"/>
  <c r="S41" i="2"/>
  <c r="R41" i="2"/>
  <c r="V41" i="2" s="1"/>
  <c r="P41" i="2"/>
  <c r="O41" i="2"/>
  <c r="N41" i="2"/>
  <c r="M41" i="2"/>
  <c r="L41" i="2"/>
  <c r="K41" i="2"/>
  <c r="J41" i="2"/>
  <c r="I41" i="2"/>
  <c r="H41" i="2"/>
  <c r="G41" i="2"/>
  <c r="F41" i="2"/>
  <c r="C41" i="2"/>
  <c r="Z40" i="2"/>
  <c r="Y40" i="2"/>
  <c r="X40" i="2"/>
  <c r="W40" i="2"/>
  <c r="T40" i="2"/>
  <c r="S40" i="2"/>
  <c r="R40" i="2"/>
  <c r="V40" i="2" s="1"/>
  <c r="P40" i="2"/>
  <c r="O40" i="2"/>
  <c r="N40" i="2"/>
  <c r="M40" i="2"/>
  <c r="L40" i="2"/>
  <c r="K40" i="2"/>
  <c r="J40" i="2"/>
  <c r="I40" i="2"/>
  <c r="H40" i="2"/>
  <c r="G40" i="2"/>
  <c r="F40" i="2"/>
  <c r="C40" i="2"/>
  <c r="Z39" i="2"/>
  <c r="Y39" i="2"/>
  <c r="X39" i="2"/>
  <c r="W39" i="2"/>
  <c r="T39" i="2"/>
  <c r="S39" i="2"/>
  <c r="R39" i="2"/>
  <c r="V39" i="2" s="1"/>
  <c r="P39" i="2"/>
  <c r="O39" i="2"/>
  <c r="N39" i="2"/>
  <c r="M39" i="2"/>
  <c r="L39" i="2"/>
  <c r="K39" i="2"/>
  <c r="J39" i="2"/>
  <c r="I39" i="2"/>
  <c r="H39" i="2"/>
  <c r="G39" i="2"/>
  <c r="F39" i="2"/>
  <c r="C39" i="2"/>
  <c r="Z38" i="2"/>
  <c r="Y38" i="2"/>
  <c r="X38" i="2"/>
  <c r="W38" i="2"/>
  <c r="T38" i="2"/>
  <c r="S38" i="2"/>
  <c r="R38" i="2"/>
  <c r="V38" i="2" s="1"/>
  <c r="P38" i="2"/>
  <c r="O38" i="2"/>
  <c r="N38" i="2"/>
  <c r="M38" i="2"/>
  <c r="L38" i="2"/>
  <c r="K38" i="2"/>
  <c r="J38" i="2"/>
  <c r="I38" i="2"/>
  <c r="H38" i="2"/>
  <c r="G38" i="2"/>
  <c r="F38" i="2"/>
  <c r="C38" i="2"/>
  <c r="Z37" i="2"/>
  <c r="Y37" i="2"/>
  <c r="X37" i="2"/>
  <c r="W37" i="2"/>
  <c r="T37" i="2"/>
  <c r="S37" i="2"/>
  <c r="R37" i="2"/>
  <c r="V37" i="2" s="1"/>
  <c r="P37" i="2"/>
  <c r="O37" i="2"/>
  <c r="N37" i="2"/>
  <c r="M37" i="2"/>
  <c r="L37" i="2"/>
  <c r="K37" i="2"/>
  <c r="J37" i="2"/>
  <c r="I37" i="2"/>
  <c r="H37" i="2"/>
  <c r="G37" i="2"/>
  <c r="F37" i="2"/>
  <c r="C37" i="2"/>
  <c r="Z36" i="2"/>
  <c r="Y36" i="2"/>
  <c r="X36" i="2"/>
  <c r="W36" i="2"/>
  <c r="T36" i="2"/>
  <c r="S36" i="2"/>
  <c r="R36" i="2"/>
  <c r="V36" i="2" s="1"/>
  <c r="P36" i="2"/>
  <c r="O36" i="2"/>
  <c r="N36" i="2"/>
  <c r="M36" i="2"/>
  <c r="L36" i="2"/>
  <c r="K36" i="2"/>
  <c r="J36" i="2"/>
  <c r="I36" i="2"/>
  <c r="H36" i="2"/>
  <c r="G36" i="2"/>
  <c r="F36" i="2"/>
  <c r="C36" i="2"/>
  <c r="Z35" i="2"/>
  <c r="Y35" i="2"/>
  <c r="X35" i="2"/>
  <c r="W35" i="2"/>
  <c r="T35" i="2"/>
  <c r="S35" i="2"/>
  <c r="R35" i="2"/>
  <c r="V35" i="2" s="1"/>
  <c r="P35" i="2"/>
  <c r="O35" i="2"/>
  <c r="N35" i="2"/>
  <c r="M35" i="2"/>
  <c r="L35" i="2"/>
  <c r="K35" i="2"/>
  <c r="J35" i="2"/>
  <c r="I35" i="2"/>
  <c r="H35" i="2"/>
  <c r="G35" i="2"/>
  <c r="F35" i="2"/>
  <c r="C35" i="2"/>
  <c r="Z34" i="2"/>
  <c r="Y34" i="2"/>
  <c r="X34" i="2"/>
  <c r="W34" i="2"/>
  <c r="T34" i="2"/>
  <c r="S34" i="2"/>
  <c r="R34" i="2"/>
  <c r="V34" i="2" s="1"/>
  <c r="P34" i="2"/>
  <c r="O34" i="2"/>
  <c r="N34" i="2"/>
  <c r="M34" i="2"/>
  <c r="L34" i="2"/>
  <c r="K34" i="2"/>
  <c r="J34" i="2"/>
  <c r="I34" i="2"/>
  <c r="H34" i="2"/>
  <c r="G34" i="2"/>
  <c r="F34" i="2"/>
  <c r="C34" i="2"/>
  <c r="Z33" i="2"/>
  <c r="Y33" i="2"/>
  <c r="X33" i="2"/>
  <c r="W33" i="2"/>
  <c r="T33" i="2"/>
  <c r="S33" i="2"/>
  <c r="R33" i="2"/>
  <c r="V33" i="2" s="1"/>
  <c r="P33" i="2"/>
  <c r="O33" i="2"/>
  <c r="N33" i="2"/>
  <c r="M33" i="2"/>
  <c r="L33" i="2"/>
  <c r="K33" i="2"/>
  <c r="J33" i="2"/>
  <c r="I33" i="2"/>
  <c r="H33" i="2"/>
  <c r="G33" i="2"/>
  <c r="F33" i="2"/>
  <c r="C33" i="2"/>
  <c r="Z32" i="2"/>
  <c r="Y32" i="2"/>
  <c r="X32" i="2"/>
  <c r="W32" i="2"/>
  <c r="T32" i="2"/>
  <c r="S32" i="2"/>
  <c r="R32" i="2"/>
  <c r="V32" i="2" s="1"/>
  <c r="P32" i="2"/>
  <c r="O32" i="2"/>
  <c r="N32" i="2"/>
  <c r="M32" i="2"/>
  <c r="L32" i="2"/>
  <c r="K32" i="2"/>
  <c r="J32" i="2"/>
  <c r="I32" i="2"/>
  <c r="H32" i="2"/>
  <c r="G32" i="2"/>
  <c r="F32" i="2"/>
  <c r="C32" i="2"/>
  <c r="Z31" i="2"/>
  <c r="Y31" i="2"/>
  <c r="X31" i="2"/>
  <c r="W31" i="2"/>
  <c r="T31" i="2"/>
  <c r="S31" i="2"/>
  <c r="R31" i="2"/>
  <c r="V31" i="2" s="1"/>
  <c r="P31" i="2"/>
  <c r="O31" i="2"/>
  <c r="N31" i="2"/>
  <c r="M31" i="2"/>
  <c r="L31" i="2"/>
  <c r="K31" i="2"/>
  <c r="J31" i="2"/>
  <c r="I31" i="2"/>
  <c r="H31" i="2"/>
  <c r="G31" i="2"/>
  <c r="F31" i="2"/>
  <c r="C31" i="2"/>
  <c r="Z30" i="2"/>
  <c r="Y30" i="2"/>
  <c r="X30" i="2"/>
  <c r="W30" i="2"/>
  <c r="T30" i="2"/>
  <c r="S30" i="2"/>
  <c r="R30" i="2"/>
  <c r="V30" i="2" s="1"/>
  <c r="P30" i="2"/>
  <c r="O30" i="2"/>
  <c r="N30" i="2"/>
  <c r="M30" i="2"/>
  <c r="L30" i="2"/>
  <c r="K30" i="2"/>
  <c r="J30" i="2"/>
  <c r="I30" i="2"/>
  <c r="H30" i="2"/>
  <c r="G30" i="2"/>
  <c r="F30" i="2"/>
  <c r="C30" i="2"/>
  <c r="Z29" i="2"/>
  <c r="Y29" i="2"/>
  <c r="X29" i="2"/>
  <c r="W29" i="2"/>
  <c r="T29" i="2"/>
  <c r="S29" i="2"/>
  <c r="R29" i="2"/>
  <c r="V29" i="2" s="1"/>
  <c r="P29" i="2"/>
  <c r="O29" i="2"/>
  <c r="N29" i="2"/>
  <c r="M29" i="2"/>
  <c r="L29" i="2"/>
  <c r="K29" i="2"/>
  <c r="J29" i="2"/>
  <c r="I29" i="2"/>
  <c r="H29" i="2"/>
  <c r="G29" i="2"/>
  <c r="F29" i="2"/>
  <c r="C29" i="2"/>
  <c r="Z28" i="2"/>
  <c r="Y28" i="2"/>
  <c r="X28" i="2"/>
  <c r="W28" i="2"/>
  <c r="T28" i="2"/>
  <c r="S28" i="2"/>
  <c r="R28" i="2"/>
  <c r="V28" i="2" s="1"/>
  <c r="P28" i="2"/>
  <c r="O28" i="2"/>
  <c r="N28" i="2"/>
  <c r="M28" i="2"/>
  <c r="L28" i="2"/>
  <c r="K28" i="2"/>
  <c r="J28" i="2"/>
  <c r="I28" i="2"/>
  <c r="H28" i="2"/>
  <c r="G28" i="2"/>
  <c r="F28" i="2"/>
  <c r="C28" i="2"/>
  <c r="Z27" i="2"/>
  <c r="Y27" i="2"/>
  <c r="X27" i="2"/>
  <c r="W27" i="2"/>
  <c r="T27" i="2"/>
  <c r="S27" i="2"/>
  <c r="R27" i="2"/>
  <c r="V27" i="2" s="1"/>
  <c r="P27" i="2"/>
  <c r="O27" i="2"/>
  <c r="N27" i="2"/>
  <c r="M27" i="2"/>
  <c r="L27" i="2"/>
  <c r="K27" i="2"/>
  <c r="J27" i="2"/>
  <c r="I27" i="2"/>
  <c r="H27" i="2"/>
  <c r="G27" i="2"/>
  <c r="F27" i="2"/>
  <c r="C27" i="2"/>
  <c r="Z26" i="2"/>
  <c r="Y26" i="2"/>
  <c r="X26" i="2"/>
  <c r="W26" i="2"/>
  <c r="T26" i="2"/>
  <c r="S26" i="2"/>
  <c r="R26" i="2"/>
  <c r="V26" i="2" s="1"/>
  <c r="P26" i="2"/>
  <c r="O26" i="2"/>
  <c r="N26" i="2"/>
  <c r="M26" i="2"/>
  <c r="L26" i="2"/>
  <c r="K26" i="2"/>
  <c r="J26" i="2"/>
  <c r="I26" i="2"/>
  <c r="H26" i="2"/>
  <c r="G26" i="2"/>
  <c r="F26" i="2"/>
  <c r="C26" i="2"/>
  <c r="Z25" i="2"/>
  <c r="Y25" i="2"/>
  <c r="X25" i="2"/>
  <c r="W25" i="2"/>
  <c r="T25" i="2"/>
  <c r="S25" i="2"/>
  <c r="R25" i="2"/>
  <c r="V25" i="2" s="1"/>
  <c r="P25" i="2"/>
  <c r="O25" i="2"/>
  <c r="N25" i="2"/>
  <c r="M25" i="2"/>
  <c r="L25" i="2"/>
  <c r="K25" i="2"/>
  <c r="J25" i="2"/>
  <c r="I25" i="2"/>
  <c r="H25" i="2"/>
  <c r="G25" i="2"/>
  <c r="F25" i="2"/>
  <c r="C25" i="2"/>
  <c r="Z24" i="2"/>
  <c r="Y24" i="2"/>
  <c r="X24" i="2"/>
  <c r="W24" i="2"/>
  <c r="T24" i="2"/>
  <c r="S24" i="2"/>
  <c r="R24" i="2"/>
  <c r="V24" i="2" s="1"/>
  <c r="P24" i="2"/>
  <c r="O24" i="2"/>
  <c r="N24" i="2"/>
  <c r="M24" i="2"/>
  <c r="L24" i="2"/>
  <c r="K24" i="2"/>
  <c r="J24" i="2"/>
  <c r="I24" i="2"/>
  <c r="H24" i="2"/>
  <c r="G24" i="2"/>
  <c r="F24" i="2"/>
  <c r="C24" i="2"/>
  <c r="Z23" i="2"/>
  <c r="Y23" i="2"/>
  <c r="X23" i="2"/>
  <c r="W23" i="2"/>
  <c r="T23" i="2"/>
  <c r="S23" i="2"/>
  <c r="R23" i="2"/>
  <c r="V23" i="2" s="1"/>
  <c r="P23" i="2"/>
  <c r="O23" i="2"/>
  <c r="N23" i="2"/>
  <c r="M23" i="2"/>
  <c r="L23" i="2"/>
  <c r="K23" i="2"/>
  <c r="J23" i="2"/>
  <c r="I23" i="2"/>
  <c r="H23" i="2"/>
  <c r="G23" i="2"/>
  <c r="F23" i="2"/>
  <c r="C23" i="2"/>
  <c r="Z22" i="2"/>
  <c r="Y22" i="2"/>
  <c r="X22" i="2"/>
  <c r="W22" i="2"/>
  <c r="T22" i="2"/>
  <c r="S22" i="2"/>
  <c r="R22" i="2"/>
  <c r="V22" i="2" s="1"/>
  <c r="P22" i="2"/>
  <c r="O22" i="2"/>
  <c r="N22" i="2"/>
  <c r="M22" i="2"/>
  <c r="L22" i="2"/>
  <c r="K22" i="2"/>
  <c r="J22" i="2"/>
  <c r="I22" i="2"/>
  <c r="H22" i="2"/>
  <c r="G22" i="2"/>
  <c r="F22" i="2"/>
  <c r="C22" i="2"/>
  <c r="Z21" i="2"/>
  <c r="Y21" i="2"/>
  <c r="X21" i="2"/>
  <c r="W21" i="2"/>
  <c r="T21" i="2"/>
  <c r="S21" i="2"/>
  <c r="R21" i="2"/>
  <c r="V21" i="2" s="1"/>
  <c r="P21" i="2"/>
  <c r="O21" i="2"/>
  <c r="N21" i="2"/>
  <c r="M21" i="2"/>
  <c r="L21" i="2"/>
  <c r="K21" i="2"/>
  <c r="J21" i="2"/>
  <c r="I21" i="2"/>
  <c r="H21" i="2"/>
  <c r="G21" i="2"/>
  <c r="F21" i="2"/>
  <c r="C21" i="2"/>
  <c r="Z20" i="2"/>
  <c r="Y20" i="2"/>
  <c r="X20" i="2"/>
  <c r="W20" i="2"/>
  <c r="T20" i="2"/>
  <c r="S20" i="2"/>
  <c r="R20" i="2"/>
  <c r="V20" i="2" s="1"/>
  <c r="P20" i="2"/>
  <c r="O20" i="2"/>
  <c r="N20" i="2"/>
  <c r="M20" i="2"/>
  <c r="L20" i="2"/>
  <c r="K20" i="2"/>
  <c r="J20" i="2"/>
  <c r="I20" i="2"/>
  <c r="H20" i="2"/>
  <c r="G20" i="2"/>
  <c r="F20" i="2"/>
  <c r="C20" i="2"/>
  <c r="Z19" i="2"/>
  <c r="Y19" i="2"/>
  <c r="X19" i="2"/>
  <c r="W19" i="2"/>
  <c r="T19" i="2"/>
  <c r="S19" i="2"/>
  <c r="R19" i="2"/>
  <c r="V19" i="2" s="1"/>
  <c r="P19" i="2"/>
  <c r="O19" i="2"/>
  <c r="N19" i="2"/>
  <c r="M19" i="2"/>
  <c r="L19" i="2"/>
  <c r="K19" i="2"/>
  <c r="J19" i="2"/>
  <c r="I19" i="2"/>
  <c r="H19" i="2"/>
  <c r="G19" i="2"/>
  <c r="F19" i="2"/>
  <c r="C19" i="2"/>
  <c r="Z18" i="2"/>
  <c r="Y18" i="2"/>
  <c r="X18" i="2"/>
  <c r="W18" i="2"/>
  <c r="T18" i="2"/>
  <c r="S18" i="2"/>
  <c r="R18" i="2"/>
  <c r="V18" i="2" s="1"/>
  <c r="P18" i="2"/>
  <c r="O18" i="2"/>
  <c r="N18" i="2"/>
  <c r="L18" i="2"/>
  <c r="K18" i="2"/>
  <c r="J18" i="2"/>
  <c r="M18" i="2" s="1"/>
  <c r="I18" i="2"/>
  <c r="H18" i="2"/>
  <c r="G18" i="2"/>
  <c r="F18" i="2"/>
  <c r="C18" i="2"/>
  <c r="Z17" i="2"/>
  <c r="Y17" i="2"/>
  <c r="X17" i="2"/>
  <c r="W17" i="2"/>
  <c r="T17" i="2"/>
  <c r="S17" i="2"/>
  <c r="R17" i="2"/>
  <c r="V17" i="2" s="1"/>
  <c r="P17" i="2"/>
  <c r="O17" i="2"/>
  <c r="N17" i="2"/>
  <c r="L17" i="2"/>
  <c r="K17" i="2"/>
  <c r="J17" i="2"/>
  <c r="M17" i="2" s="1"/>
  <c r="I17" i="2"/>
  <c r="H17" i="2"/>
  <c r="G17" i="2"/>
  <c r="F17" i="2"/>
  <c r="C17" i="2"/>
  <c r="Z16" i="2"/>
  <c r="Y16" i="2"/>
  <c r="X16" i="2"/>
  <c r="W16" i="2"/>
  <c r="T16" i="2"/>
  <c r="S16" i="2"/>
  <c r="R16" i="2"/>
  <c r="V16" i="2" s="1"/>
  <c r="P16" i="2"/>
  <c r="O16" i="2"/>
  <c r="N16" i="2"/>
  <c r="L16" i="2"/>
  <c r="K16" i="2"/>
  <c r="J16" i="2"/>
  <c r="M16" i="2" s="1"/>
  <c r="I16" i="2"/>
  <c r="H16" i="2"/>
  <c r="G16" i="2"/>
  <c r="F16" i="2"/>
  <c r="C16" i="2"/>
  <c r="Z15" i="2"/>
  <c r="Y15" i="2"/>
  <c r="X15" i="2"/>
  <c r="W15" i="2"/>
  <c r="T15" i="2"/>
  <c r="S15" i="2"/>
  <c r="R15" i="2"/>
  <c r="V15" i="2" s="1"/>
  <c r="P15" i="2"/>
  <c r="O15" i="2"/>
  <c r="N15" i="2"/>
  <c r="M15" i="2"/>
  <c r="L15" i="2"/>
  <c r="K15" i="2"/>
  <c r="J15" i="2"/>
  <c r="I15" i="2"/>
  <c r="H15" i="2"/>
  <c r="G15" i="2"/>
  <c r="F15" i="2"/>
  <c r="C15" i="2"/>
  <c r="Z14" i="2"/>
  <c r="Y14" i="2"/>
  <c r="X14" i="2"/>
  <c r="W14" i="2"/>
  <c r="T14" i="2"/>
  <c r="S14" i="2"/>
  <c r="R14" i="2"/>
  <c r="V14" i="2" s="1"/>
  <c r="P14" i="2"/>
  <c r="O14" i="2"/>
  <c r="N14" i="2"/>
  <c r="M14" i="2"/>
  <c r="L14" i="2"/>
  <c r="K14" i="2"/>
  <c r="J14" i="2"/>
  <c r="I14" i="2"/>
  <c r="H14" i="2"/>
  <c r="G14" i="2"/>
  <c r="F14" i="2"/>
  <c r="C14" i="2"/>
  <c r="Z13" i="2"/>
  <c r="Y13" i="2"/>
  <c r="X13" i="2"/>
  <c r="W13" i="2"/>
  <c r="T13" i="2"/>
  <c r="S13" i="2"/>
  <c r="R13" i="2"/>
  <c r="V13" i="2" s="1"/>
  <c r="P13" i="2"/>
  <c r="O13" i="2"/>
  <c r="N13" i="2"/>
  <c r="L13" i="2"/>
  <c r="K13" i="2"/>
  <c r="J13" i="2"/>
  <c r="M13" i="2" s="1"/>
  <c r="I13" i="2"/>
  <c r="H13" i="2"/>
  <c r="G13" i="2"/>
  <c r="F13" i="2"/>
  <c r="C13" i="2"/>
  <c r="Z12" i="2"/>
  <c r="Y12" i="2"/>
  <c r="X12" i="2"/>
  <c r="W12" i="2"/>
  <c r="T12" i="2"/>
  <c r="S12" i="2"/>
  <c r="R12" i="2"/>
  <c r="V12" i="2" s="1"/>
  <c r="P12" i="2"/>
  <c r="O12" i="2"/>
  <c r="N12" i="2"/>
  <c r="L12" i="2"/>
  <c r="K12" i="2"/>
  <c r="J12" i="2"/>
  <c r="M12" i="2" s="1"/>
  <c r="I12" i="2"/>
  <c r="H12" i="2"/>
  <c r="G12" i="2"/>
  <c r="F12" i="2"/>
  <c r="C12" i="2"/>
  <c r="Z8" i="2"/>
  <c r="A8" i="2"/>
  <c r="A221" i="1"/>
  <c r="Z213" i="1"/>
  <c r="W213" i="1"/>
  <c r="T213" i="1"/>
  <c r="S213" i="1"/>
  <c r="R213" i="1"/>
  <c r="Y213" i="1" s="1"/>
  <c r="P213" i="1"/>
  <c r="O213" i="1"/>
  <c r="N213" i="1"/>
  <c r="L213" i="1"/>
  <c r="K213" i="1"/>
  <c r="J213" i="1"/>
  <c r="H213" i="1"/>
  <c r="G213" i="1"/>
  <c r="M213" i="1" s="1"/>
  <c r="F213" i="1"/>
  <c r="C213" i="1"/>
  <c r="Z212" i="1"/>
  <c r="Y212" i="1"/>
  <c r="W212" i="1"/>
  <c r="T212" i="1"/>
  <c r="S212" i="1"/>
  <c r="R212" i="1"/>
  <c r="X212" i="1" s="1"/>
  <c r="P212" i="1"/>
  <c r="O212" i="1"/>
  <c r="N212" i="1"/>
  <c r="L212" i="1"/>
  <c r="K212" i="1"/>
  <c r="J212" i="1"/>
  <c r="M212" i="1" s="1"/>
  <c r="H212" i="1"/>
  <c r="G212" i="1"/>
  <c r="F212" i="1"/>
  <c r="C212" i="1"/>
  <c r="T211" i="1"/>
  <c r="S211" i="1"/>
  <c r="R211" i="1"/>
  <c r="W211" i="1" s="1"/>
  <c r="P211" i="1"/>
  <c r="O211" i="1"/>
  <c r="N211" i="1"/>
  <c r="M211" i="1"/>
  <c r="L211" i="1"/>
  <c r="K211" i="1"/>
  <c r="J211" i="1"/>
  <c r="H211" i="1"/>
  <c r="G211" i="1"/>
  <c r="F211" i="1"/>
  <c r="C211" i="1"/>
  <c r="W210" i="1"/>
  <c r="T210" i="1"/>
  <c r="S210" i="1"/>
  <c r="R210" i="1"/>
  <c r="Z210" i="1" s="1"/>
  <c r="P210" i="1"/>
  <c r="O210" i="1"/>
  <c r="N210" i="1"/>
  <c r="M210" i="1"/>
  <c r="L210" i="1"/>
  <c r="K210" i="1"/>
  <c r="J210" i="1"/>
  <c r="H210" i="1"/>
  <c r="G210" i="1"/>
  <c r="F210" i="1"/>
  <c r="C210" i="1"/>
  <c r="Z209" i="1"/>
  <c r="W209" i="1"/>
  <c r="T209" i="1"/>
  <c r="S209" i="1"/>
  <c r="R209" i="1"/>
  <c r="Y209" i="1" s="1"/>
  <c r="P209" i="1"/>
  <c r="O209" i="1"/>
  <c r="N209" i="1"/>
  <c r="L209" i="1"/>
  <c r="K209" i="1"/>
  <c r="J209" i="1"/>
  <c r="H209" i="1"/>
  <c r="G209" i="1"/>
  <c r="M209" i="1" s="1"/>
  <c r="F209" i="1"/>
  <c r="C209" i="1"/>
  <c r="Z208" i="1"/>
  <c r="Y208" i="1"/>
  <c r="W208" i="1"/>
  <c r="T208" i="1"/>
  <c r="S208" i="1"/>
  <c r="R208" i="1"/>
  <c r="X208" i="1" s="1"/>
  <c r="P208" i="1"/>
  <c r="O208" i="1"/>
  <c r="N208" i="1"/>
  <c r="L208" i="1"/>
  <c r="K208" i="1"/>
  <c r="J208" i="1"/>
  <c r="M208" i="1" s="1"/>
  <c r="H208" i="1"/>
  <c r="G208" i="1"/>
  <c r="F208" i="1"/>
  <c r="C208" i="1"/>
  <c r="Z206" i="1"/>
  <c r="Y206" i="1"/>
  <c r="X206" i="1"/>
  <c r="W206" i="1"/>
  <c r="V206" i="1"/>
  <c r="T206" i="1"/>
  <c r="S206" i="1"/>
  <c r="R206" i="1"/>
  <c r="P206" i="1"/>
  <c r="O206" i="1"/>
  <c r="N206" i="1"/>
  <c r="L206" i="1"/>
  <c r="K206" i="1"/>
  <c r="J206" i="1"/>
  <c r="M206" i="1" s="1"/>
  <c r="I206" i="1"/>
  <c r="H206" i="1"/>
  <c r="G206" i="1"/>
  <c r="F206" i="1"/>
  <c r="C206" i="1"/>
  <c r="Z205" i="1"/>
  <c r="Y205" i="1"/>
  <c r="X205" i="1"/>
  <c r="W205" i="1"/>
  <c r="V205" i="1"/>
  <c r="T205" i="1"/>
  <c r="S205" i="1"/>
  <c r="R205" i="1"/>
  <c r="P205" i="1"/>
  <c r="O205" i="1"/>
  <c r="N205" i="1"/>
  <c r="L205" i="1"/>
  <c r="K205" i="1"/>
  <c r="J205" i="1"/>
  <c r="M205" i="1" s="1"/>
  <c r="I205" i="1"/>
  <c r="H205" i="1"/>
  <c r="G205" i="1"/>
  <c r="F205" i="1"/>
  <c r="C205" i="1"/>
  <c r="Z204" i="1"/>
  <c r="Y204" i="1"/>
  <c r="X204" i="1"/>
  <c r="W204" i="1"/>
  <c r="V204" i="1"/>
  <c r="T204" i="1"/>
  <c r="S204" i="1"/>
  <c r="R204" i="1"/>
  <c r="P204" i="1"/>
  <c r="O204" i="1"/>
  <c r="N204" i="1"/>
  <c r="L204" i="1"/>
  <c r="K204" i="1"/>
  <c r="J204" i="1"/>
  <c r="M204" i="1" s="1"/>
  <c r="I204" i="1"/>
  <c r="H204" i="1"/>
  <c r="G204" i="1"/>
  <c r="F204" i="1"/>
  <c r="C204" i="1"/>
  <c r="Z203" i="1"/>
  <c r="Y203" i="1"/>
  <c r="X203" i="1"/>
  <c r="W203" i="1"/>
  <c r="V203" i="1"/>
  <c r="T203" i="1"/>
  <c r="S203" i="1"/>
  <c r="R203" i="1"/>
  <c r="P203" i="1"/>
  <c r="O203" i="1"/>
  <c r="N203" i="1"/>
  <c r="L203" i="1"/>
  <c r="K203" i="1"/>
  <c r="J203" i="1"/>
  <c r="M203" i="1" s="1"/>
  <c r="I203" i="1"/>
  <c r="H203" i="1"/>
  <c r="G203" i="1"/>
  <c r="F203" i="1"/>
  <c r="C203" i="1"/>
  <c r="Z202" i="1"/>
  <c r="Y202" i="1"/>
  <c r="X202" i="1"/>
  <c r="W202" i="1"/>
  <c r="V202" i="1"/>
  <c r="T202" i="1"/>
  <c r="S202" i="1"/>
  <c r="R202" i="1"/>
  <c r="P202" i="1"/>
  <c r="O202" i="1"/>
  <c r="N202" i="1"/>
  <c r="L202" i="1"/>
  <c r="K202" i="1"/>
  <c r="J202" i="1"/>
  <c r="M202" i="1" s="1"/>
  <c r="I202" i="1"/>
  <c r="H202" i="1"/>
  <c r="G202" i="1"/>
  <c r="F202" i="1"/>
  <c r="C202" i="1"/>
  <c r="Z201" i="1"/>
  <c r="Y201" i="1"/>
  <c r="X201" i="1"/>
  <c r="W201" i="1"/>
  <c r="V201" i="1"/>
  <c r="T201" i="1"/>
  <c r="S201" i="1"/>
  <c r="R201" i="1"/>
  <c r="P201" i="1"/>
  <c r="O201" i="1"/>
  <c r="N201" i="1"/>
  <c r="L201" i="1"/>
  <c r="K201" i="1"/>
  <c r="J201" i="1"/>
  <c r="M201" i="1" s="1"/>
  <c r="I201" i="1"/>
  <c r="H201" i="1"/>
  <c r="G201" i="1"/>
  <c r="F201" i="1"/>
  <c r="C201" i="1"/>
  <c r="Z200" i="1"/>
  <c r="Y200" i="1"/>
  <c r="X200" i="1"/>
  <c r="W200" i="1"/>
  <c r="V200" i="1"/>
  <c r="T200" i="1"/>
  <c r="S200" i="1"/>
  <c r="R200" i="1"/>
  <c r="P200" i="1"/>
  <c r="O200" i="1"/>
  <c r="N200" i="1"/>
  <c r="L200" i="1"/>
  <c r="K200" i="1"/>
  <c r="J200" i="1"/>
  <c r="M200" i="1" s="1"/>
  <c r="I200" i="1"/>
  <c r="H200" i="1"/>
  <c r="G200" i="1"/>
  <c r="F200" i="1"/>
  <c r="C200" i="1"/>
  <c r="Z199" i="1"/>
  <c r="Y199" i="1"/>
  <c r="X199" i="1"/>
  <c r="W199" i="1"/>
  <c r="V199" i="1"/>
  <c r="T199" i="1"/>
  <c r="S199" i="1"/>
  <c r="R199" i="1"/>
  <c r="P199" i="1"/>
  <c r="O199" i="1"/>
  <c r="N199" i="1"/>
  <c r="L199" i="1"/>
  <c r="K199" i="1"/>
  <c r="J199" i="1"/>
  <c r="I199" i="1"/>
  <c r="H199" i="1"/>
  <c r="G199" i="1"/>
  <c r="F199" i="1"/>
  <c r="C199" i="1"/>
  <c r="Z198" i="1"/>
  <c r="Y198" i="1"/>
  <c r="X198" i="1"/>
  <c r="W198" i="1"/>
  <c r="V198" i="1"/>
  <c r="T198" i="1"/>
  <c r="S198" i="1"/>
  <c r="R198" i="1"/>
  <c r="P198" i="1"/>
  <c r="O198" i="1"/>
  <c r="N198" i="1"/>
  <c r="L198" i="1"/>
  <c r="K198" i="1"/>
  <c r="J198" i="1"/>
  <c r="M198" i="1" s="1"/>
  <c r="I198" i="1"/>
  <c r="H198" i="1"/>
  <c r="G198" i="1"/>
  <c r="F198" i="1"/>
  <c r="C198" i="1"/>
  <c r="Z197" i="1"/>
  <c r="Y197" i="1"/>
  <c r="X197" i="1"/>
  <c r="W197" i="1"/>
  <c r="V197" i="1"/>
  <c r="T197" i="1"/>
  <c r="S197" i="1"/>
  <c r="R197" i="1"/>
  <c r="P197" i="1"/>
  <c r="O197" i="1"/>
  <c r="N197" i="1"/>
  <c r="L197" i="1"/>
  <c r="K197" i="1"/>
  <c r="J197" i="1"/>
  <c r="I197" i="1"/>
  <c r="H197" i="1"/>
  <c r="G197" i="1"/>
  <c r="F197" i="1"/>
  <c r="C197" i="1"/>
  <c r="Z196" i="1"/>
  <c r="Y196" i="1"/>
  <c r="X196" i="1"/>
  <c r="W196" i="1"/>
  <c r="V196" i="1"/>
  <c r="T196" i="1"/>
  <c r="S196" i="1"/>
  <c r="R196" i="1"/>
  <c r="P196" i="1"/>
  <c r="O196" i="1"/>
  <c r="N196" i="1"/>
  <c r="L196" i="1"/>
  <c r="K196" i="1"/>
  <c r="J196" i="1"/>
  <c r="M196" i="1" s="1"/>
  <c r="I196" i="1"/>
  <c r="H196" i="1"/>
  <c r="G196" i="1"/>
  <c r="F196" i="1"/>
  <c r="C196" i="1"/>
  <c r="Z194" i="1"/>
  <c r="Y194" i="1"/>
  <c r="X194" i="1"/>
  <c r="W194" i="1"/>
  <c r="V194" i="1"/>
  <c r="T194" i="1"/>
  <c r="S194" i="1"/>
  <c r="R194" i="1"/>
  <c r="P194" i="1"/>
  <c r="O194" i="1"/>
  <c r="N194" i="1"/>
  <c r="L194" i="1"/>
  <c r="K194" i="1"/>
  <c r="J194" i="1"/>
  <c r="I194" i="1"/>
  <c r="H194" i="1"/>
  <c r="G194" i="1"/>
  <c r="F194" i="1"/>
  <c r="C194" i="1"/>
  <c r="Z193" i="1"/>
  <c r="Y193" i="1"/>
  <c r="X193" i="1"/>
  <c r="W193" i="1"/>
  <c r="V193" i="1"/>
  <c r="T193" i="1"/>
  <c r="S193" i="1"/>
  <c r="R193" i="1"/>
  <c r="P193" i="1"/>
  <c r="O193" i="1"/>
  <c r="N193" i="1"/>
  <c r="L193" i="1"/>
  <c r="K193" i="1"/>
  <c r="J193" i="1"/>
  <c r="M193" i="1" s="1"/>
  <c r="I193" i="1"/>
  <c r="H193" i="1"/>
  <c r="G193" i="1"/>
  <c r="F193" i="1"/>
  <c r="C193" i="1"/>
  <c r="Z192" i="1"/>
  <c r="Y192" i="1"/>
  <c r="X192" i="1"/>
  <c r="W192" i="1"/>
  <c r="V192" i="1"/>
  <c r="T192" i="1"/>
  <c r="S192" i="1"/>
  <c r="R192" i="1"/>
  <c r="P192" i="1"/>
  <c r="O192" i="1"/>
  <c r="N192" i="1"/>
  <c r="L192" i="1"/>
  <c r="K192" i="1"/>
  <c r="J192" i="1"/>
  <c r="I192" i="1"/>
  <c r="H192" i="1"/>
  <c r="G192" i="1"/>
  <c r="F192" i="1"/>
  <c r="C192" i="1"/>
  <c r="Z191" i="1"/>
  <c r="Y191" i="1"/>
  <c r="X191" i="1"/>
  <c r="W191" i="1"/>
  <c r="V191" i="1"/>
  <c r="T191" i="1"/>
  <c r="S191" i="1"/>
  <c r="R191" i="1"/>
  <c r="P191" i="1"/>
  <c r="O191" i="1"/>
  <c r="N191" i="1"/>
  <c r="L191" i="1"/>
  <c r="K191" i="1"/>
  <c r="J191" i="1"/>
  <c r="M191" i="1" s="1"/>
  <c r="I191" i="1"/>
  <c r="H191" i="1"/>
  <c r="G191" i="1"/>
  <c r="F191" i="1"/>
  <c r="C191" i="1"/>
  <c r="Z190" i="1"/>
  <c r="Y190" i="1"/>
  <c r="X190" i="1"/>
  <c r="W190" i="1"/>
  <c r="V190" i="1"/>
  <c r="T190" i="1"/>
  <c r="S190" i="1"/>
  <c r="R190" i="1"/>
  <c r="P190" i="1"/>
  <c r="O190" i="1"/>
  <c r="N190" i="1"/>
  <c r="L190" i="1"/>
  <c r="K190" i="1"/>
  <c r="J190" i="1"/>
  <c r="I190" i="1"/>
  <c r="H190" i="1"/>
  <c r="G190" i="1"/>
  <c r="F190" i="1"/>
  <c r="C190" i="1"/>
  <c r="Z189" i="1"/>
  <c r="Y189" i="1"/>
  <c r="X189" i="1"/>
  <c r="W189" i="1"/>
  <c r="V189" i="1"/>
  <c r="T189" i="1"/>
  <c r="S189" i="1"/>
  <c r="R189" i="1"/>
  <c r="P189" i="1"/>
  <c r="O189" i="1"/>
  <c r="N189" i="1"/>
  <c r="L189" i="1"/>
  <c r="K189" i="1"/>
  <c r="J189" i="1"/>
  <c r="M189" i="1" s="1"/>
  <c r="I189" i="1"/>
  <c r="H189" i="1"/>
  <c r="G189" i="1"/>
  <c r="F189" i="1"/>
  <c r="C189" i="1"/>
  <c r="Z188" i="1"/>
  <c r="Y188" i="1"/>
  <c r="X188" i="1"/>
  <c r="W188" i="1"/>
  <c r="V188" i="1"/>
  <c r="T188" i="1"/>
  <c r="S188" i="1"/>
  <c r="R188" i="1"/>
  <c r="P188" i="1"/>
  <c r="O188" i="1"/>
  <c r="N188" i="1"/>
  <c r="L188" i="1"/>
  <c r="K188" i="1"/>
  <c r="J188" i="1"/>
  <c r="I188" i="1"/>
  <c r="H188" i="1"/>
  <c r="G188" i="1"/>
  <c r="F188" i="1"/>
  <c r="C188" i="1"/>
  <c r="Z186" i="1"/>
  <c r="Y186" i="1"/>
  <c r="X186" i="1"/>
  <c r="W186" i="1"/>
  <c r="V186" i="1"/>
  <c r="T186" i="1"/>
  <c r="S186" i="1"/>
  <c r="R186" i="1"/>
  <c r="P186" i="1"/>
  <c r="O186" i="1"/>
  <c r="N186" i="1"/>
  <c r="L186" i="1"/>
  <c r="K186" i="1"/>
  <c r="J186" i="1"/>
  <c r="M186" i="1" s="1"/>
  <c r="I186" i="1"/>
  <c r="H186" i="1"/>
  <c r="G186" i="1"/>
  <c r="F186" i="1"/>
  <c r="C186" i="1"/>
  <c r="Z185" i="1"/>
  <c r="Y185" i="1"/>
  <c r="X185" i="1"/>
  <c r="W185" i="1"/>
  <c r="V185" i="1"/>
  <c r="T185" i="1"/>
  <c r="S185" i="1"/>
  <c r="R185" i="1"/>
  <c r="P185" i="1"/>
  <c r="O185" i="1"/>
  <c r="N185" i="1"/>
  <c r="L185" i="1"/>
  <c r="K185" i="1"/>
  <c r="J185" i="1"/>
  <c r="I185" i="1"/>
  <c r="H185" i="1"/>
  <c r="G185" i="1"/>
  <c r="F185" i="1"/>
  <c r="C185" i="1"/>
  <c r="Z184" i="1"/>
  <c r="Y184" i="1"/>
  <c r="X184" i="1"/>
  <c r="W184" i="1"/>
  <c r="V184" i="1"/>
  <c r="T184" i="1"/>
  <c r="S184" i="1"/>
  <c r="R184" i="1"/>
  <c r="P184" i="1"/>
  <c r="O184" i="1"/>
  <c r="N184" i="1"/>
  <c r="L184" i="1"/>
  <c r="K184" i="1"/>
  <c r="J184" i="1"/>
  <c r="M184" i="1" s="1"/>
  <c r="I184" i="1"/>
  <c r="H184" i="1"/>
  <c r="G184" i="1"/>
  <c r="F184" i="1"/>
  <c r="C184" i="1"/>
  <c r="Z183" i="1"/>
  <c r="Y183" i="1"/>
  <c r="X183" i="1"/>
  <c r="W183" i="1"/>
  <c r="V183" i="1"/>
  <c r="T183" i="1"/>
  <c r="S183" i="1"/>
  <c r="R183" i="1"/>
  <c r="P183" i="1"/>
  <c r="O183" i="1"/>
  <c r="N183" i="1"/>
  <c r="L183" i="1"/>
  <c r="K183" i="1"/>
  <c r="J183" i="1"/>
  <c r="I183" i="1"/>
  <c r="H183" i="1"/>
  <c r="G183" i="1"/>
  <c r="F183" i="1"/>
  <c r="C183" i="1"/>
  <c r="Z182" i="1"/>
  <c r="Y182" i="1"/>
  <c r="X182" i="1"/>
  <c r="W182" i="1"/>
  <c r="V182" i="1"/>
  <c r="T182" i="1"/>
  <c r="S182" i="1"/>
  <c r="R182" i="1"/>
  <c r="P182" i="1"/>
  <c r="O182" i="1"/>
  <c r="N182" i="1"/>
  <c r="L182" i="1"/>
  <c r="K182" i="1"/>
  <c r="J182" i="1"/>
  <c r="M182" i="1" s="1"/>
  <c r="I182" i="1"/>
  <c r="H182" i="1"/>
  <c r="G182" i="1"/>
  <c r="F182" i="1"/>
  <c r="C182" i="1"/>
  <c r="Z181" i="1"/>
  <c r="Y181" i="1"/>
  <c r="X181" i="1"/>
  <c r="W181" i="1"/>
  <c r="V181" i="1"/>
  <c r="T181" i="1"/>
  <c r="S181" i="1"/>
  <c r="R181" i="1"/>
  <c r="P181" i="1"/>
  <c r="O181" i="1"/>
  <c r="N181" i="1"/>
  <c r="L181" i="1"/>
  <c r="K181" i="1"/>
  <c r="J181" i="1"/>
  <c r="I181" i="1"/>
  <c r="H181" i="1"/>
  <c r="G181" i="1"/>
  <c r="F181" i="1"/>
  <c r="C181" i="1"/>
  <c r="Z179" i="1"/>
  <c r="Y179" i="1"/>
  <c r="X179" i="1"/>
  <c r="W179" i="1"/>
  <c r="V179" i="1"/>
  <c r="T179" i="1"/>
  <c r="S179" i="1"/>
  <c r="R179" i="1"/>
  <c r="P179" i="1"/>
  <c r="O179" i="1"/>
  <c r="N179" i="1"/>
  <c r="L179" i="1"/>
  <c r="K179" i="1"/>
  <c r="J179" i="1"/>
  <c r="M179" i="1" s="1"/>
  <c r="I179" i="1"/>
  <c r="H179" i="1"/>
  <c r="G179" i="1"/>
  <c r="F179" i="1"/>
  <c r="C179" i="1"/>
  <c r="Z178" i="1"/>
  <c r="Y178" i="1"/>
  <c r="X178" i="1"/>
  <c r="W178" i="1"/>
  <c r="V178" i="1"/>
  <c r="T178" i="1"/>
  <c r="S178" i="1"/>
  <c r="R178" i="1"/>
  <c r="P178" i="1"/>
  <c r="O178" i="1"/>
  <c r="N178" i="1"/>
  <c r="L178" i="1"/>
  <c r="K178" i="1"/>
  <c r="J178" i="1"/>
  <c r="I178" i="1"/>
  <c r="H178" i="1"/>
  <c r="G178" i="1"/>
  <c r="F178" i="1"/>
  <c r="C178" i="1"/>
  <c r="Z177" i="1"/>
  <c r="Y177" i="1"/>
  <c r="X177" i="1"/>
  <c r="W177" i="1"/>
  <c r="V177" i="1"/>
  <c r="T177" i="1"/>
  <c r="S177" i="1"/>
  <c r="R177" i="1"/>
  <c r="P177" i="1"/>
  <c r="O177" i="1"/>
  <c r="N177" i="1"/>
  <c r="L177" i="1"/>
  <c r="K177" i="1"/>
  <c r="J177" i="1"/>
  <c r="M177" i="1" s="1"/>
  <c r="I177" i="1"/>
  <c r="H177" i="1"/>
  <c r="G177" i="1"/>
  <c r="F177" i="1"/>
  <c r="C177" i="1"/>
  <c r="Z176" i="1"/>
  <c r="Y176" i="1"/>
  <c r="X176" i="1"/>
  <c r="W176" i="1"/>
  <c r="V176" i="1"/>
  <c r="T176" i="1"/>
  <c r="S176" i="1"/>
  <c r="R176" i="1"/>
  <c r="P176" i="1"/>
  <c r="O176" i="1"/>
  <c r="N176" i="1"/>
  <c r="L176" i="1"/>
  <c r="K176" i="1"/>
  <c r="J176" i="1"/>
  <c r="I176" i="1"/>
  <c r="H176" i="1"/>
  <c r="G176" i="1"/>
  <c r="F176" i="1"/>
  <c r="C176" i="1"/>
  <c r="Z175" i="1"/>
  <c r="Y175" i="1"/>
  <c r="X175" i="1"/>
  <c r="W175" i="1"/>
  <c r="V175" i="1"/>
  <c r="T175" i="1"/>
  <c r="S175" i="1"/>
  <c r="R175" i="1"/>
  <c r="P175" i="1"/>
  <c r="O175" i="1"/>
  <c r="N175" i="1"/>
  <c r="L175" i="1"/>
  <c r="K175" i="1"/>
  <c r="J175" i="1"/>
  <c r="M175" i="1" s="1"/>
  <c r="I175" i="1"/>
  <c r="H175" i="1"/>
  <c r="G175" i="1"/>
  <c r="F175" i="1"/>
  <c r="C175" i="1"/>
  <c r="Z174" i="1"/>
  <c r="Y174" i="1"/>
  <c r="X174" i="1"/>
  <c r="W174" i="1"/>
  <c r="V174" i="1"/>
  <c r="T174" i="1"/>
  <c r="S174" i="1"/>
  <c r="R174" i="1"/>
  <c r="P174" i="1"/>
  <c r="O174" i="1"/>
  <c r="N174" i="1"/>
  <c r="L174" i="1"/>
  <c r="K174" i="1"/>
  <c r="J174" i="1"/>
  <c r="I174" i="1"/>
  <c r="H174" i="1"/>
  <c r="G174" i="1"/>
  <c r="F174" i="1"/>
  <c r="C174" i="1"/>
  <c r="Z172" i="1"/>
  <c r="Y172" i="1"/>
  <c r="X172" i="1"/>
  <c r="W172" i="1"/>
  <c r="V172" i="1"/>
  <c r="T172" i="1"/>
  <c r="S172" i="1"/>
  <c r="R172" i="1"/>
  <c r="P172" i="1"/>
  <c r="O172" i="1"/>
  <c r="N172" i="1"/>
  <c r="L172" i="1"/>
  <c r="K172" i="1"/>
  <c r="J172" i="1"/>
  <c r="M172" i="1" s="1"/>
  <c r="I172" i="1"/>
  <c r="H172" i="1"/>
  <c r="G172" i="1"/>
  <c r="F172" i="1"/>
  <c r="C172" i="1"/>
  <c r="Z171" i="1"/>
  <c r="Y171" i="1"/>
  <c r="X171" i="1"/>
  <c r="W171" i="1"/>
  <c r="V171" i="1"/>
  <c r="T171" i="1"/>
  <c r="S171" i="1"/>
  <c r="R171" i="1"/>
  <c r="P171" i="1"/>
  <c r="O171" i="1"/>
  <c r="N171" i="1"/>
  <c r="L171" i="1"/>
  <c r="K171" i="1"/>
  <c r="J171" i="1"/>
  <c r="I171" i="1"/>
  <c r="H171" i="1"/>
  <c r="G171" i="1"/>
  <c r="F171" i="1"/>
  <c r="C171" i="1"/>
  <c r="Z170" i="1"/>
  <c r="Y170" i="1"/>
  <c r="X170" i="1"/>
  <c r="W170" i="1"/>
  <c r="V170" i="1"/>
  <c r="T170" i="1"/>
  <c r="S170" i="1"/>
  <c r="R170" i="1"/>
  <c r="P170" i="1"/>
  <c r="O170" i="1"/>
  <c r="N170" i="1"/>
  <c r="L170" i="1"/>
  <c r="K170" i="1"/>
  <c r="J170" i="1"/>
  <c r="M170" i="1" s="1"/>
  <c r="I170" i="1"/>
  <c r="H170" i="1"/>
  <c r="G170" i="1"/>
  <c r="F170" i="1"/>
  <c r="C170" i="1"/>
  <c r="Z169" i="1"/>
  <c r="Y169" i="1"/>
  <c r="X169" i="1"/>
  <c r="W169" i="1"/>
  <c r="V169" i="1"/>
  <c r="T169" i="1"/>
  <c r="S169" i="1"/>
  <c r="R169" i="1"/>
  <c r="P169" i="1"/>
  <c r="O169" i="1"/>
  <c r="N169" i="1"/>
  <c r="L169" i="1"/>
  <c r="K169" i="1"/>
  <c r="J169" i="1"/>
  <c r="I169" i="1"/>
  <c r="H169" i="1"/>
  <c r="G169" i="1"/>
  <c r="F169" i="1"/>
  <c r="C169" i="1"/>
  <c r="Z168" i="1"/>
  <c r="Y168" i="1"/>
  <c r="X168" i="1"/>
  <c r="W168" i="1"/>
  <c r="V168" i="1"/>
  <c r="T168" i="1"/>
  <c r="S168" i="1"/>
  <c r="R168" i="1"/>
  <c r="P168" i="1"/>
  <c r="O168" i="1"/>
  <c r="N168" i="1"/>
  <c r="L168" i="1"/>
  <c r="K168" i="1"/>
  <c r="J168" i="1"/>
  <c r="M168" i="1" s="1"/>
  <c r="I168" i="1"/>
  <c r="H168" i="1"/>
  <c r="G168" i="1"/>
  <c r="F168" i="1"/>
  <c r="C168" i="1"/>
  <c r="Z167" i="1"/>
  <c r="Y167" i="1"/>
  <c r="X167" i="1"/>
  <c r="W167" i="1"/>
  <c r="V167" i="1"/>
  <c r="T167" i="1"/>
  <c r="S167" i="1"/>
  <c r="R167" i="1"/>
  <c r="P167" i="1"/>
  <c r="O167" i="1"/>
  <c r="N167" i="1"/>
  <c r="L167" i="1"/>
  <c r="K167" i="1"/>
  <c r="J167" i="1"/>
  <c r="I167" i="1"/>
  <c r="H167" i="1"/>
  <c r="G167" i="1"/>
  <c r="F167" i="1"/>
  <c r="C167" i="1"/>
  <c r="Z166" i="1"/>
  <c r="Y166" i="1"/>
  <c r="X166" i="1"/>
  <c r="W166" i="1"/>
  <c r="V166" i="1"/>
  <c r="T166" i="1"/>
  <c r="S166" i="1"/>
  <c r="R166" i="1"/>
  <c r="P166" i="1"/>
  <c r="O166" i="1"/>
  <c r="N166" i="1"/>
  <c r="L166" i="1"/>
  <c r="K166" i="1"/>
  <c r="J166" i="1"/>
  <c r="M166" i="1" s="1"/>
  <c r="I166" i="1"/>
  <c r="H166" i="1"/>
  <c r="G166" i="1"/>
  <c r="F166" i="1"/>
  <c r="C166" i="1"/>
  <c r="Z165" i="1"/>
  <c r="Y165" i="1"/>
  <c r="X165" i="1"/>
  <c r="W165" i="1"/>
  <c r="V165" i="1"/>
  <c r="T165" i="1"/>
  <c r="S165" i="1"/>
  <c r="R165" i="1"/>
  <c r="P165" i="1"/>
  <c r="O165" i="1"/>
  <c r="N165" i="1"/>
  <c r="L165" i="1"/>
  <c r="K165" i="1"/>
  <c r="J165" i="1"/>
  <c r="I165" i="1"/>
  <c r="H165" i="1"/>
  <c r="G165" i="1"/>
  <c r="F165" i="1"/>
  <c r="C165" i="1"/>
  <c r="Z164" i="1"/>
  <c r="Y164" i="1"/>
  <c r="X164" i="1"/>
  <c r="W164" i="1"/>
  <c r="V164" i="1"/>
  <c r="T164" i="1"/>
  <c r="S164" i="1"/>
  <c r="R164" i="1"/>
  <c r="P164" i="1"/>
  <c r="O164" i="1"/>
  <c r="N164" i="1"/>
  <c r="L164" i="1"/>
  <c r="K164" i="1"/>
  <c r="J164" i="1"/>
  <c r="M164" i="1" s="1"/>
  <c r="I164" i="1"/>
  <c r="H164" i="1"/>
  <c r="G164" i="1"/>
  <c r="F164" i="1"/>
  <c r="C164" i="1"/>
  <c r="Z163" i="1"/>
  <c r="Y163" i="1"/>
  <c r="X163" i="1"/>
  <c r="W163" i="1"/>
  <c r="V163" i="1"/>
  <c r="T163" i="1"/>
  <c r="S163" i="1"/>
  <c r="R163" i="1"/>
  <c r="P163" i="1"/>
  <c r="O163" i="1"/>
  <c r="N163" i="1"/>
  <c r="L163" i="1"/>
  <c r="K163" i="1"/>
  <c r="J163" i="1"/>
  <c r="I163" i="1"/>
  <c r="H163" i="1"/>
  <c r="G163" i="1"/>
  <c r="F163" i="1"/>
  <c r="C163" i="1"/>
  <c r="Z162" i="1"/>
  <c r="Y162" i="1"/>
  <c r="X162" i="1"/>
  <c r="W162" i="1"/>
  <c r="V162" i="1"/>
  <c r="T162" i="1"/>
  <c r="S162" i="1"/>
  <c r="R162" i="1"/>
  <c r="P162" i="1"/>
  <c r="O162" i="1"/>
  <c r="N162" i="1"/>
  <c r="L162" i="1"/>
  <c r="K162" i="1"/>
  <c r="J162" i="1"/>
  <c r="M162" i="1" s="1"/>
  <c r="I162" i="1"/>
  <c r="H162" i="1"/>
  <c r="G162" i="1"/>
  <c r="F162" i="1"/>
  <c r="C162" i="1"/>
  <c r="Z161" i="1"/>
  <c r="Y161" i="1"/>
  <c r="X161" i="1"/>
  <c r="W161" i="1"/>
  <c r="V161" i="1"/>
  <c r="T161" i="1"/>
  <c r="S161" i="1"/>
  <c r="R161" i="1"/>
  <c r="P161" i="1"/>
  <c r="O161" i="1"/>
  <c r="N161" i="1"/>
  <c r="L161" i="1"/>
  <c r="K161" i="1"/>
  <c r="J161" i="1"/>
  <c r="I161" i="1"/>
  <c r="H161" i="1"/>
  <c r="G161" i="1"/>
  <c r="F161" i="1"/>
  <c r="C161" i="1"/>
  <c r="Z160" i="1"/>
  <c r="Y160" i="1"/>
  <c r="X160" i="1"/>
  <c r="W160" i="1"/>
  <c r="V160" i="1"/>
  <c r="T160" i="1"/>
  <c r="S160" i="1"/>
  <c r="R160" i="1"/>
  <c r="P160" i="1"/>
  <c r="O160" i="1"/>
  <c r="N160" i="1"/>
  <c r="L160" i="1"/>
  <c r="K160" i="1"/>
  <c r="J160" i="1"/>
  <c r="M160" i="1" s="1"/>
  <c r="I160" i="1"/>
  <c r="H160" i="1"/>
  <c r="G160" i="1"/>
  <c r="F160" i="1"/>
  <c r="C160" i="1"/>
  <c r="Z159" i="1"/>
  <c r="Y159" i="1"/>
  <c r="X159" i="1"/>
  <c r="W159" i="1"/>
  <c r="V159" i="1"/>
  <c r="T159" i="1"/>
  <c r="S159" i="1"/>
  <c r="R159" i="1"/>
  <c r="P159" i="1"/>
  <c r="O159" i="1"/>
  <c r="N159" i="1"/>
  <c r="L159" i="1"/>
  <c r="K159" i="1"/>
  <c r="J159" i="1"/>
  <c r="I159" i="1"/>
  <c r="H159" i="1"/>
  <c r="G159" i="1"/>
  <c r="F159" i="1"/>
  <c r="C159" i="1"/>
  <c r="Z158" i="1"/>
  <c r="Y158" i="1"/>
  <c r="X158" i="1"/>
  <c r="W158" i="1"/>
  <c r="V158" i="1"/>
  <c r="T158" i="1"/>
  <c r="S158" i="1"/>
  <c r="R158" i="1"/>
  <c r="P158" i="1"/>
  <c r="O158" i="1"/>
  <c r="N158" i="1"/>
  <c r="L158" i="1"/>
  <c r="K158" i="1"/>
  <c r="J158" i="1"/>
  <c r="M158" i="1" s="1"/>
  <c r="I158" i="1"/>
  <c r="H158" i="1"/>
  <c r="G158" i="1"/>
  <c r="F158" i="1"/>
  <c r="C158" i="1"/>
  <c r="Z157" i="1"/>
  <c r="Y157" i="1"/>
  <c r="X157" i="1"/>
  <c r="W157" i="1"/>
  <c r="V157" i="1"/>
  <c r="T157" i="1"/>
  <c r="S157" i="1"/>
  <c r="R157" i="1"/>
  <c r="P157" i="1"/>
  <c r="O157" i="1"/>
  <c r="N157" i="1"/>
  <c r="L157" i="1"/>
  <c r="K157" i="1"/>
  <c r="J157" i="1"/>
  <c r="I157" i="1"/>
  <c r="H157" i="1"/>
  <c r="G157" i="1"/>
  <c r="F157" i="1"/>
  <c r="C157" i="1"/>
  <c r="Z156" i="1"/>
  <c r="Y156" i="1"/>
  <c r="X156" i="1"/>
  <c r="W156" i="1"/>
  <c r="V156" i="1"/>
  <c r="T156" i="1"/>
  <c r="S156" i="1"/>
  <c r="R156" i="1"/>
  <c r="P156" i="1"/>
  <c r="O156" i="1"/>
  <c r="N156" i="1"/>
  <c r="L156" i="1"/>
  <c r="K156" i="1"/>
  <c r="J156" i="1"/>
  <c r="M156" i="1" s="1"/>
  <c r="I156" i="1"/>
  <c r="H156" i="1"/>
  <c r="G156" i="1"/>
  <c r="F156" i="1"/>
  <c r="C156" i="1"/>
  <c r="Z155" i="1"/>
  <c r="Y155" i="1"/>
  <c r="X155" i="1"/>
  <c r="W155" i="1"/>
  <c r="V155" i="1"/>
  <c r="T155" i="1"/>
  <c r="S155" i="1"/>
  <c r="R155" i="1"/>
  <c r="P155" i="1"/>
  <c r="O155" i="1"/>
  <c r="N155" i="1"/>
  <c r="L155" i="1"/>
  <c r="K155" i="1"/>
  <c r="J155" i="1"/>
  <c r="I155" i="1"/>
  <c r="H155" i="1"/>
  <c r="G155" i="1"/>
  <c r="F155" i="1"/>
  <c r="C155" i="1"/>
  <c r="Z154" i="1"/>
  <c r="Y154" i="1"/>
  <c r="X154" i="1"/>
  <c r="W154" i="1"/>
  <c r="V154" i="1"/>
  <c r="T154" i="1"/>
  <c r="S154" i="1"/>
  <c r="R154" i="1"/>
  <c r="P154" i="1"/>
  <c r="O154" i="1"/>
  <c r="N154" i="1"/>
  <c r="L154" i="1"/>
  <c r="K154" i="1"/>
  <c r="J154" i="1"/>
  <c r="M154" i="1" s="1"/>
  <c r="I154" i="1"/>
  <c r="H154" i="1"/>
  <c r="G154" i="1"/>
  <c r="F154" i="1"/>
  <c r="C154" i="1"/>
  <c r="Z153" i="1"/>
  <c r="Y153" i="1"/>
  <c r="X153" i="1"/>
  <c r="W153" i="1"/>
  <c r="V153" i="1"/>
  <c r="T153" i="1"/>
  <c r="S153" i="1"/>
  <c r="R153" i="1"/>
  <c r="P153" i="1"/>
  <c r="O153" i="1"/>
  <c r="N153" i="1"/>
  <c r="L153" i="1"/>
  <c r="K153" i="1"/>
  <c r="J153" i="1"/>
  <c r="I153" i="1"/>
  <c r="H153" i="1"/>
  <c r="G153" i="1"/>
  <c r="F153" i="1"/>
  <c r="C153" i="1"/>
  <c r="Z151" i="1"/>
  <c r="Y151" i="1"/>
  <c r="X151" i="1"/>
  <c r="W151" i="1"/>
  <c r="V151" i="1"/>
  <c r="T151" i="1"/>
  <c r="S151" i="1"/>
  <c r="R151" i="1"/>
  <c r="P151" i="1"/>
  <c r="O151" i="1"/>
  <c r="N151" i="1"/>
  <c r="L151" i="1"/>
  <c r="K151" i="1"/>
  <c r="J151" i="1"/>
  <c r="M151" i="1" s="1"/>
  <c r="I151" i="1"/>
  <c r="H151" i="1"/>
  <c r="G151" i="1"/>
  <c r="F151" i="1"/>
  <c r="C151" i="1"/>
  <c r="Z150" i="1"/>
  <c r="Y150" i="1"/>
  <c r="X150" i="1"/>
  <c r="W150" i="1"/>
  <c r="V150" i="1"/>
  <c r="T150" i="1"/>
  <c r="S150" i="1"/>
  <c r="R150" i="1"/>
  <c r="P150" i="1"/>
  <c r="O150" i="1"/>
  <c r="N150" i="1"/>
  <c r="L150" i="1"/>
  <c r="K150" i="1"/>
  <c r="J150" i="1"/>
  <c r="I150" i="1"/>
  <c r="H150" i="1"/>
  <c r="G150" i="1"/>
  <c r="F150" i="1"/>
  <c r="C150" i="1"/>
  <c r="Z148" i="1"/>
  <c r="Y148" i="1"/>
  <c r="X148" i="1"/>
  <c r="W148" i="1"/>
  <c r="V148" i="1"/>
  <c r="T148" i="1"/>
  <c r="S148" i="1"/>
  <c r="R148" i="1"/>
  <c r="P148" i="1"/>
  <c r="O148" i="1"/>
  <c r="N148" i="1"/>
  <c r="L148" i="1"/>
  <c r="K148" i="1"/>
  <c r="J148" i="1"/>
  <c r="M148" i="1" s="1"/>
  <c r="I148" i="1"/>
  <c r="H148" i="1"/>
  <c r="G148" i="1"/>
  <c r="F148" i="1"/>
  <c r="C148" i="1"/>
  <c r="Z147" i="1"/>
  <c r="Y147" i="1"/>
  <c r="X147" i="1"/>
  <c r="W147" i="1"/>
  <c r="V147" i="1"/>
  <c r="T147" i="1"/>
  <c r="S147" i="1"/>
  <c r="R147" i="1"/>
  <c r="P147" i="1"/>
  <c r="O147" i="1"/>
  <c r="N147" i="1"/>
  <c r="L147" i="1"/>
  <c r="K147" i="1"/>
  <c r="J147" i="1"/>
  <c r="I147" i="1"/>
  <c r="H147" i="1"/>
  <c r="G147" i="1"/>
  <c r="F147" i="1"/>
  <c r="C147" i="1"/>
  <c r="Z146" i="1"/>
  <c r="Y146" i="1"/>
  <c r="X146" i="1"/>
  <c r="W146" i="1"/>
  <c r="V146" i="1"/>
  <c r="T146" i="1"/>
  <c r="S146" i="1"/>
  <c r="R146" i="1"/>
  <c r="P146" i="1"/>
  <c r="O146" i="1"/>
  <c r="N146" i="1"/>
  <c r="L146" i="1"/>
  <c r="K146" i="1"/>
  <c r="J146" i="1"/>
  <c r="M146" i="1" s="1"/>
  <c r="I146" i="1"/>
  <c r="H146" i="1"/>
  <c r="G146" i="1"/>
  <c r="F146" i="1"/>
  <c r="C146" i="1"/>
  <c r="Z145" i="1"/>
  <c r="Y145" i="1"/>
  <c r="X145" i="1"/>
  <c r="W145" i="1"/>
  <c r="V145" i="1"/>
  <c r="T145" i="1"/>
  <c r="S145" i="1"/>
  <c r="R145" i="1"/>
  <c r="P145" i="1"/>
  <c r="O145" i="1"/>
  <c r="N145" i="1"/>
  <c r="L145" i="1"/>
  <c r="K145" i="1"/>
  <c r="J145" i="1"/>
  <c r="I145" i="1"/>
  <c r="H145" i="1"/>
  <c r="G145" i="1"/>
  <c r="F145" i="1"/>
  <c r="C145" i="1"/>
  <c r="Z143" i="1"/>
  <c r="Y143" i="1"/>
  <c r="X143" i="1"/>
  <c r="W143" i="1"/>
  <c r="V143" i="1"/>
  <c r="T143" i="1"/>
  <c r="S143" i="1"/>
  <c r="R143" i="1"/>
  <c r="P143" i="1"/>
  <c r="O143" i="1"/>
  <c r="N143" i="1"/>
  <c r="L143" i="1"/>
  <c r="K143" i="1"/>
  <c r="J143" i="1"/>
  <c r="M143" i="1" s="1"/>
  <c r="I143" i="1"/>
  <c r="H143" i="1"/>
  <c r="G143" i="1"/>
  <c r="F143" i="1"/>
  <c r="C143" i="1"/>
  <c r="Z142" i="1"/>
  <c r="Y142" i="1"/>
  <c r="X142" i="1"/>
  <c r="W142" i="1"/>
  <c r="V142" i="1"/>
  <c r="T142" i="1"/>
  <c r="S142" i="1"/>
  <c r="R142" i="1"/>
  <c r="P142" i="1"/>
  <c r="O142" i="1"/>
  <c r="N142" i="1"/>
  <c r="L142" i="1"/>
  <c r="K142" i="1"/>
  <c r="J142" i="1"/>
  <c r="I142" i="1"/>
  <c r="H142" i="1"/>
  <c r="G142" i="1"/>
  <c r="F142" i="1"/>
  <c r="C142" i="1"/>
  <c r="Z141" i="1"/>
  <c r="Y141" i="1"/>
  <c r="X141" i="1"/>
  <c r="W141" i="1"/>
  <c r="V141" i="1"/>
  <c r="T141" i="1"/>
  <c r="S141" i="1"/>
  <c r="R141" i="1"/>
  <c r="P141" i="1"/>
  <c r="O141" i="1"/>
  <c r="N141" i="1"/>
  <c r="L141" i="1"/>
  <c r="K141" i="1"/>
  <c r="J141" i="1"/>
  <c r="M141" i="1" s="1"/>
  <c r="I141" i="1"/>
  <c r="H141" i="1"/>
  <c r="G141" i="1"/>
  <c r="F141" i="1"/>
  <c r="C141" i="1"/>
  <c r="Z140" i="1"/>
  <c r="Y140" i="1"/>
  <c r="X140" i="1"/>
  <c r="W140" i="1"/>
  <c r="V140" i="1"/>
  <c r="T140" i="1"/>
  <c r="S140" i="1"/>
  <c r="R140" i="1"/>
  <c r="P140" i="1"/>
  <c r="O140" i="1"/>
  <c r="N140" i="1"/>
  <c r="L140" i="1"/>
  <c r="K140" i="1"/>
  <c r="J140" i="1"/>
  <c r="I140" i="1"/>
  <c r="H140" i="1"/>
  <c r="G140" i="1"/>
  <c r="F140" i="1"/>
  <c r="C140" i="1"/>
  <c r="Z138" i="1"/>
  <c r="Y138" i="1"/>
  <c r="X138" i="1"/>
  <c r="W138" i="1"/>
  <c r="V138" i="1"/>
  <c r="T138" i="1"/>
  <c r="S138" i="1"/>
  <c r="R138" i="1"/>
  <c r="P138" i="1"/>
  <c r="O138" i="1"/>
  <c r="N138" i="1"/>
  <c r="L138" i="1"/>
  <c r="K138" i="1"/>
  <c r="J138" i="1"/>
  <c r="M138" i="1" s="1"/>
  <c r="I138" i="1"/>
  <c r="H138" i="1"/>
  <c r="G138" i="1"/>
  <c r="F138" i="1"/>
  <c r="C138" i="1"/>
  <c r="Z137" i="1"/>
  <c r="Y137" i="1"/>
  <c r="X137" i="1"/>
  <c r="W137" i="1"/>
  <c r="V137" i="1"/>
  <c r="T137" i="1"/>
  <c r="S137" i="1"/>
  <c r="R137" i="1"/>
  <c r="P137" i="1"/>
  <c r="O137" i="1"/>
  <c r="N137" i="1"/>
  <c r="L137" i="1"/>
  <c r="K137" i="1"/>
  <c r="J137" i="1"/>
  <c r="I137" i="1"/>
  <c r="H137" i="1"/>
  <c r="G137" i="1"/>
  <c r="F137" i="1"/>
  <c r="C137" i="1"/>
  <c r="Z136" i="1"/>
  <c r="Y136" i="1"/>
  <c r="X136" i="1"/>
  <c r="W136" i="1"/>
  <c r="V136" i="1"/>
  <c r="T136" i="1"/>
  <c r="S136" i="1"/>
  <c r="R136" i="1"/>
  <c r="P136" i="1"/>
  <c r="O136" i="1"/>
  <c r="N136" i="1"/>
  <c r="L136" i="1"/>
  <c r="K136" i="1"/>
  <c r="J136" i="1"/>
  <c r="M136" i="1" s="1"/>
  <c r="I136" i="1"/>
  <c r="H136" i="1"/>
  <c r="G136" i="1"/>
  <c r="F136" i="1"/>
  <c r="C136" i="1"/>
  <c r="Z135" i="1"/>
  <c r="Y135" i="1"/>
  <c r="X135" i="1"/>
  <c r="W135" i="1"/>
  <c r="V135" i="1"/>
  <c r="T135" i="1"/>
  <c r="S135" i="1"/>
  <c r="R135" i="1"/>
  <c r="P135" i="1"/>
  <c r="O135" i="1"/>
  <c r="N135" i="1"/>
  <c r="L135" i="1"/>
  <c r="K135" i="1"/>
  <c r="J135" i="1"/>
  <c r="I135" i="1"/>
  <c r="H135" i="1"/>
  <c r="G135" i="1"/>
  <c r="F135" i="1"/>
  <c r="C135" i="1"/>
  <c r="Z134" i="1"/>
  <c r="Y134" i="1"/>
  <c r="X134" i="1"/>
  <c r="W134" i="1"/>
  <c r="V134" i="1"/>
  <c r="T134" i="1"/>
  <c r="S134" i="1"/>
  <c r="R134" i="1"/>
  <c r="P134" i="1"/>
  <c r="O134" i="1"/>
  <c r="N134" i="1"/>
  <c r="L134" i="1"/>
  <c r="K134" i="1"/>
  <c r="J134" i="1"/>
  <c r="M134" i="1" s="1"/>
  <c r="I134" i="1"/>
  <c r="H134" i="1"/>
  <c r="G134" i="1"/>
  <c r="F134" i="1"/>
  <c r="C134" i="1"/>
  <c r="Z133" i="1"/>
  <c r="Y133" i="1"/>
  <c r="X133" i="1"/>
  <c r="W133" i="1"/>
  <c r="V133" i="1"/>
  <c r="T133" i="1"/>
  <c r="S133" i="1"/>
  <c r="R133" i="1"/>
  <c r="P133" i="1"/>
  <c r="O133" i="1"/>
  <c r="N133" i="1"/>
  <c r="L133" i="1"/>
  <c r="K133" i="1"/>
  <c r="J133" i="1"/>
  <c r="I133" i="1"/>
  <c r="H133" i="1"/>
  <c r="G133" i="1"/>
  <c r="F133" i="1"/>
  <c r="C133" i="1"/>
  <c r="Z132" i="1"/>
  <c r="Y132" i="1"/>
  <c r="X132" i="1"/>
  <c r="W132" i="1"/>
  <c r="V132" i="1"/>
  <c r="T132" i="1"/>
  <c r="S132" i="1"/>
  <c r="R132" i="1"/>
  <c r="P132" i="1"/>
  <c r="O132" i="1"/>
  <c r="N132" i="1"/>
  <c r="L132" i="1"/>
  <c r="K132" i="1"/>
  <c r="J132" i="1"/>
  <c r="M132" i="1" s="1"/>
  <c r="I132" i="1"/>
  <c r="H132" i="1"/>
  <c r="G132" i="1"/>
  <c r="F132" i="1"/>
  <c r="C132" i="1"/>
  <c r="Z131" i="1"/>
  <c r="Y131" i="1"/>
  <c r="X131" i="1"/>
  <c r="W131" i="1"/>
  <c r="V131" i="1"/>
  <c r="T131" i="1"/>
  <c r="S131" i="1"/>
  <c r="R131" i="1"/>
  <c r="P131" i="1"/>
  <c r="O131" i="1"/>
  <c r="N131" i="1"/>
  <c r="L131" i="1"/>
  <c r="K131" i="1"/>
  <c r="J131" i="1"/>
  <c r="I131" i="1"/>
  <c r="H131" i="1"/>
  <c r="G131" i="1"/>
  <c r="F131" i="1"/>
  <c r="C131" i="1"/>
  <c r="Z130" i="1"/>
  <c r="Y130" i="1"/>
  <c r="X130" i="1"/>
  <c r="W130" i="1"/>
  <c r="V130" i="1"/>
  <c r="T130" i="1"/>
  <c r="S130" i="1"/>
  <c r="R130" i="1"/>
  <c r="P130" i="1"/>
  <c r="O130" i="1"/>
  <c r="N130" i="1"/>
  <c r="L130" i="1"/>
  <c r="K130" i="1"/>
  <c r="J130" i="1"/>
  <c r="M130" i="1" s="1"/>
  <c r="I130" i="1"/>
  <c r="H130" i="1"/>
  <c r="G130" i="1"/>
  <c r="F130" i="1"/>
  <c r="C130" i="1"/>
  <c r="Z129" i="1"/>
  <c r="Y129" i="1"/>
  <c r="X129" i="1"/>
  <c r="W129" i="1"/>
  <c r="V129" i="1"/>
  <c r="T129" i="1"/>
  <c r="S129" i="1"/>
  <c r="R129" i="1"/>
  <c r="P129" i="1"/>
  <c r="O129" i="1"/>
  <c r="N129" i="1"/>
  <c r="L129" i="1"/>
  <c r="K129" i="1"/>
  <c r="J129" i="1"/>
  <c r="I129" i="1"/>
  <c r="H129" i="1"/>
  <c r="G129" i="1"/>
  <c r="F129" i="1"/>
  <c r="C129" i="1"/>
  <c r="Z128" i="1"/>
  <c r="Y128" i="1"/>
  <c r="X128" i="1"/>
  <c r="W128" i="1"/>
  <c r="V128" i="1"/>
  <c r="T128" i="1"/>
  <c r="S128" i="1"/>
  <c r="R128" i="1"/>
  <c r="P128" i="1"/>
  <c r="O128" i="1"/>
  <c r="N128" i="1"/>
  <c r="L128" i="1"/>
  <c r="K128" i="1"/>
  <c r="J128" i="1"/>
  <c r="M128" i="1" s="1"/>
  <c r="I128" i="1"/>
  <c r="H128" i="1"/>
  <c r="G128" i="1"/>
  <c r="F128" i="1"/>
  <c r="C128" i="1"/>
  <c r="Z127" i="1"/>
  <c r="Y127" i="1"/>
  <c r="X127" i="1"/>
  <c r="W127" i="1"/>
  <c r="V127" i="1"/>
  <c r="T127" i="1"/>
  <c r="S127" i="1"/>
  <c r="R127" i="1"/>
  <c r="P127" i="1"/>
  <c r="O127" i="1"/>
  <c r="N127" i="1"/>
  <c r="L127" i="1"/>
  <c r="K127" i="1"/>
  <c r="J127" i="1"/>
  <c r="I127" i="1"/>
  <c r="H127" i="1"/>
  <c r="G127" i="1"/>
  <c r="F127" i="1"/>
  <c r="C127" i="1"/>
  <c r="Z125" i="1"/>
  <c r="Y125" i="1"/>
  <c r="X125" i="1"/>
  <c r="W125" i="1"/>
  <c r="V125" i="1"/>
  <c r="T125" i="1"/>
  <c r="S125" i="1"/>
  <c r="R125" i="1"/>
  <c r="P125" i="1"/>
  <c r="O125" i="1"/>
  <c r="N125" i="1"/>
  <c r="L125" i="1"/>
  <c r="K125" i="1"/>
  <c r="J125" i="1"/>
  <c r="M125" i="1" s="1"/>
  <c r="I125" i="1"/>
  <c r="H125" i="1"/>
  <c r="G125" i="1"/>
  <c r="F125" i="1"/>
  <c r="C125" i="1"/>
  <c r="Z124" i="1"/>
  <c r="Y124" i="1"/>
  <c r="X124" i="1"/>
  <c r="W124" i="1"/>
  <c r="V124" i="1"/>
  <c r="T124" i="1"/>
  <c r="S124" i="1"/>
  <c r="R124" i="1"/>
  <c r="P124" i="1"/>
  <c r="O124" i="1"/>
  <c r="N124" i="1"/>
  <c r="L124" i="1"/>
  <c r="K124" i="1"/>
  <c r="J124" i="1"/>
  <c r="I124" i="1"/>
  <c r="H124" i="1"/>
  <c r="G124" i="1"/>
  <c r="F124" i="1"/>
  <c r="C124" i="1"/>
  <c r="Z123" i="1"/>
  <c r="Y123" i="1"/>
  <c r="X123" i="1"/>
  <c r="W123" i="1"/>
  <c r="V123" i="1"/>
  <c r="T123" i="1"/>
  <c r="S123" i="1"/>
  <c r="R123" i="1"/>
  <c r="P123" i="1"/>
  <c r="O123" i="1"/>
  <c r="N123" i="1"/>
  <c r="L123" i="1"/>
  <c r="K123" i="1"/>
  <c r="J123" i="1"/>
  <c r="M123" i="1" s="1"/>
  <c r="I123" i="1"/>
  <c r="H123" i="1"/>
  <c r="G123" i="1"/>
  <c r="F123" i="1"/>
  <c r="C123" i="1"/>
  <c r="Z122" i="1"/>
  <c r="Y122" i="1"/>
  <c r="X122" i="1"/>
  <c r="W122" i="1"/>
  <c r="V122" i="1"/>
  <c r="T122" i="1"/>
  <c r="S122" i="1"/>
  <c r="R122" i="1"/>
  <c r="P122" i="1"/>
  <c r="O122" i="1"/>
  <c r="N122" i="1"/>
  <c r="L122" i="1"/>
  <c r="K122" i="1"/>
  <c r="J122" i="1"/>
  <c r="I122" i="1"/>
  <c r="H122" i="1"/>
  <c r="G122" i="1"/>
  <c r="F122" i="1"/>
  <c r="C122" i="1"/>
  <c r="Z121" i="1"/>
  <c r="Y121" i="1"/>
  <c r="X121" i="1"/>
  <c r="W121" i="1"/>
  <c r="V121" i="1"/>
  <c r="T121" i="1"/>
  <c r="S121" i="1"/>
  <c r="R121" i="1"/>
  <c r="P121" i="1"/>
  <c r="O121" i="1"/>
  <c r="N121" i="1"/>
  <c r="L121" i="1"/>
  <c r="K121" i="1"/>
  <c r="J121" i="1"/>
  <c r="M121" i="1" s="1"/>
  <c r="I121" i="1"/>
  <c r="H121" i="1"/>
  <c r="G121" i="1"/>
  <c r="F121" i="1"/>
  <c r="C121" i="1"/>
  <c r="Z120" i="1"/>
  <c r="Y120" i="1"/>
  <c r="X120" i="1"/>
  <c r="W120" i="1"/>
  <c r="V120" i="1"/>
  <c r="T120" i="1"/>
  <c r="S120" i="1"/>
  <c r="R120" i="1"/>
  <c r="P120" i="1"/>
  <c r="O120" i="1"/>
  <c r="N120" i="1"/>
  <c r="L120" i="1"/>
  <c r="K120" i="1"/>
  <c r="J120" i="1"/>
  <c r="I120" i="1"/>
  <c r="H120" i="1"/>
  <c r="G120" i="1"/>
  <c r="F120" i="1"/>
  <c r="C120" i="1"/>
  <c r="Z119" i="1"/>
  <c r="Y119" i="1"/>
  <c r="X119" i="1"/>
  <c r="W119" i="1"/>
  <c r="V119" i="1"/>
  <c r="T119" i="1"/>
  <c r="S119" i="1"/>
  <c r="R119" i="1"/>
  <c r="P119" i="1"/>
  <c r="O119" i="1"/>
  <c r="N119" i="1"/>
  <c r="L119" i="1"/>
  <c r="K119" i="1"/>
  <c r="J119" i="1"/>
  <c r="M119" i="1" s="1"/>
  <c r="I119" i="1"/>
  <c r="H119" i="1"/>
  <c r="G119" i="1"/>
  <c r="F119" i="1"/>
  <c r="C119" i="1"/>
  <c r="Z118" i="1"/>
  <c r="Y118" i="1"/>
  <c r="X118" i="1"/>
  <c r="W118" i="1"/>
  <c r="V118" i="1"/>
  <c r="T118" i="1"/>
  <c r="S118" i="1"/>
  <c r="R118" i="1"/>
  <c r="P118" i="1"/>
  <c r="O118" i="1"/>
  <c r="N118" i="1"/>
  <c r="L118" i="1"/>
  <c r="K118" i="1"/>
  <c r="J118" i="1"/>
  <c r="I118" i="1"/>
  <c r="H118" i="1"/>
  <c r="G118" i="1"/>
  <c r="F118" i="1"/>
  <c r="C118" i="1"/>
  <c r="Z117" i="1"/>
  <c r="Y117" i="1"/>
  <c r="X117" i="1"/>
  <c r="W117" i="1"/>
  <c r="V117" i="1"/>
  <c r="T117" i="1"/>
  <c r="S117" i="1"/>
  <c r="R117" i="1"/>
  <c r="P117" i="1"/>
  <c r="O117" i="1"/>
  <c r="N117" i="1"/>
  <c r="L117" i="1"/>
  <c r="K117" i="1"/>
  <c r="J117" i="1"/>
  <c r="M117" i="1" s="1"/>
  <c r="I117" i="1"/>
  <c r="H117" i="1"/>
  <c r="G117" i="1"/>
  <c r="F117" i="1"/>
  <c r="C117" i="1"/>
  <c r="Z116" i="1"/>
  <c r="Y116" i="1"/>
  <c r="X116" i="1"/>
  <c r="W116" i="1"/>
  <c r="V116" i="1"/>
  <c r="T116" i="1"/>
  <c r="S116" i="1"/>
  <c r="R116" i="1"/>
  <c r="P116" i="1"/>
  <c r="O116" i="1"/>
  <c r="N116" i="1"/>
  <c r="L116" i="1"/>
  <c r="K116" i="1"/>
  <c r="J116" i="1"/>
  <c r="I116" i="1"/>
  <c r="H116" i="1"/>
  <c r="G116" i="1"/>
  <c r="F116" i="1"/>
  <c r="C116" i="1"/>
  <c r="Z115" i="1"/>
  <c r="Y115" i="1"/>
  <c r="X115" i="1"/>
  <c r="W115" i="1"/>
  <c r="V115" i="1"/>
  <c r="T115" i="1"/>
  <c r="S115" i="1"/>
  <c r="R115" i="1"/>
  <c r="P115" i="1"/>
  <c r="O115" i="1"/>
  <c r="N115" i="1"/>
  <c r="L115" i="1"/>
  <c r="K115" i="1"/>
  <c r="J115" i="1"/>
  <c r="M115" i="1" s="1"/>
  <c r="I115" i="1"/>
  <c r="H115" i="1"/>
  <c r="G115" i="1"/>
  <c r="F115" i="1"/>
  <c r="C115" i="1"/>
  <c r="Z113" i="1"/>
  <c r="Y113" i="1"/>
  <c r="X113" i="1"/>
  <c r="W113" i="1"/>
  <c r="V113" i="1"/>
  <c r="T113" i="1"/>
  <c r="S113" i="1"/>
  <c r="R113" i="1"/>
  <c r="P113" i="1"/>
  <c r="O113" i="1"/>
  <c r="N113" i="1"/>
  <c r="L113" i="1"/>
  <c r="K113" i="1"/>
  <c r="J113" i="1"/>
  <c r="I113" i="1"/>
  <c r="H113" i="1"/>
  <c r="G113" i="1"/>
  <c r="F113" i="1"/>
  <c r="C113" i="1"/>
  <c r="Z112" i="1"/>
  <c r="Y112" i="1"/>
  <c r="X112" i="1"/>
  <c r="W112" i="1"/>
  <c r="V112" i="1"/>
  <c r="T112" i="1"/>
  <c r="S112" i="1"/>
  <c r="R112" i="1"/>
  <c r="P112" i="1"/>
  <c r="O112" i="1"/>
  <c r="N112" i="1"/>
  <c r="L112" i="1"/>
  <c r="K112" i="1"/>
  <c r="J112" i="1"/>
  <c r="M112" i="1" s="1"/>
  <c r="I112" i="1"/>
  <c r="H112" i="1"/>
  <c r="G112" i="1"/>
  <c r="F112" i="1"/>
  <c r="C112" i="1"/>
  <c r="Z111" i="1"/>
  <c r="Y111" i="1"/>
  <c r="X111" i="1"/>
  <c r="W111" i="1"/>
  <c r="V111" i="1"/>
  <c r="T111" i="1"/>
  <c r="S111" i="1"/>
  <c r="R111" i="1"/>
  <c r="P111" i="1"/>
  <c r="O111" i="1"/>
  <c r="N111" i="1"/>
  <c r="L111" i="1"/>
  <c r="K111" i="1"/>
  <c r="J111" i="1"/>
  <c r="I111" i="1"/>
  <c r="H111" i="1"/>
  <c r="G111" i="1"/>
  <c r="F111" i="1"/>
  <c r="C111" i="1"/>
  <c r="Z110" i="1"/>
  <c r="Y110" i="1"/>
  <c r="X110" i="1"/>
  <c r="W110" i="1"/>
  <c r="V110" i="1"/>
  <c r="T110" i="1"/>
  <c r="S110" i="1"/>
  <c r="R110" i="1"/>
  <c r="P110" i="1"/>
  <c r="O110" i="1"/>
  <c r="N110" i="1"/>
  <c r="L110" i="1"/>
  <c r="K110" i="1"/>
  <c r="J110" i="1"/>
  <c r="M110" i="1" s="1"/>
  <c r="I110" i="1"/>
  <c r="H110" i="1"/>
  <c r="G110" i="1"/>
  <c r="F110" i="1"/>
  <c r="C110" i="1"/>
  <c r="Z108" i="1"/>
  <c r="Y108" i="1"/>
  <c r="X108" i="1"/>
  <c r="W108" i="1"/>
  <c r="V108" i="1"/>
  <c r="T108" i="1"/>
  <c r="S108" i="1"/>
  <c r="R108" i="1"/>
  <c r="P108" i="1"/>
  <c r="O108" i="1"/>
  <c r="N108" i="1"/>
  <c r="L108" i="1"/>
  <c r="K108" i="1"/>
  <c r="J108" i="1"/>
  <c r="I108" i="1"/>
  <c r="H108" i="1"/>
  <c r="G108" i="1"/>
  <c r="F108" i="1"/>
  <c r="C108" i="1"/>
  <c r="Z107" i="1"/>
  <c r="Y107" i="1"/>
  <c r="X107" i="1"/>
  <c r="W107" i="1"/>
  <c r="V107" i="1"/>
  <c r="T107" i="1"/>
  <c r="S107" i="1"/>
  <c r="R107" i="1"/>
  <c r="P107" i="1"/>
  <c r="O107" i="1"/>
  <c r="N107" i="1"/>
  <c r="L107" i="1"/>
  <c r="K107" i="1"/>
  <c r="J107" i="1"/>
  <c r="M107" i="1" s="1"/>
  <c r="I107" i="1"/>
  <c r="H107" i="1"/>
  <c r="G107" i="1"/>
  <c r="F107" i="1"/>
  <c r="C107" i="1"/>
  <c r="Z106" i="1"/>
  <c r="Y106" i="1"/>
  <c r="X106" i="1"/>
  <c r="W106" i="1"/>
  <c r="V106" i="1"/>
  <c r="T106" i="1"/>
  <c r="S106" i="1"/>
  <c r="R106" i="1"/>
  <c r="P106" i="1"/>
  <c r="O106" i="1"/>
  <c r="N106" i="1"/>
  <c r="L106" i="1"/>
  <c r="K106" i="1"/>
  <c r="J106" i="1"/>
  <c r="I106" i="1"/>
  <c r="H106" i="1"/>
  <c r="G106" i="1"/>
  <c r="F106" i="1"/>
  <c r="C106" i="1"/>
  <c r="Z105" i="1"/>
  <c r="Y105" i="1"/>
  <c r="X105" i="1"/>
  <c r="W105" i="1"/>
  <c r="V105" i="1"/>
  <c r="T105" i="1"/>
  <c r="S105" i="1"/>
  <c r="R105" i="1"/>
  <c r="P105" i="1"/>
  <c r="O105" i="1"/>
  <c r="N105" i="1"/>
  <c r="L105" i="1"/>
  <c r="K105" i="1"/>
  <c r="J105" i="1"/>
  <c r="M105" i="1" s="1"/>
  <c r="I105" i="1"/>
  <c r="H105" i="1"/>
  <c r="G105" i="1"/>
  <c r="F105" i="1"/>
  <c r="C105" i="1"/>
  <c r="Z104" i="1"/>
  <c r="Y104" i="1"/>
  <c r="X104" i="1"/>
  <c r="W104" i="1"/>
  <c r="V104" i="1"/>
  <c r="T104" i="1"/>
  <c r="S104" i="1"/>
  <c r="R104" i="1"/>
  <c r="P104" i="1"/>
  <c r="O104" i="1"/>
  <c r="N104" i="1"/>
  <c r="L104" i="1"/>
  <c r="K104" i="1"/>
  <c r="J104" i="1"/>
  <c r="I104" i="1"/>
  <c r="H104" i="1"/>
  <c r="G104" i="1"/>
  <c r="F104" i="1"/>
  <c r="C104" i="1"/>
  <c r="Z103" i="1"/>
  <c r="Y103" i="1"/>
  <c r="X103" i="1"/>
  <c r="W103" i="1"/>
  <c r="V103" i="1"/>
  <c r="T103" i="1"/>
  <c r="S103" i="1"/>
  <c r="R103" i="1"/>
  <c r="P103" i="1"/>
  <c r="O103" i="1"/>
  <c r="N103" i="1"/>
  <c r="L103" i="1"/>
  <c r="K103" i="1"/>
  <c r="J103" i="1"/>
  <c r="M103" i="1" s="1"/>
  <c r="I103" i="1"/>
  <c r="H103" i="1"/>
  <c r="G103" i="1"/>
  <c r="F103" i="1"/>
  <c r="C103" i="1"/>
  <c r="Z102" i="1"/>
  <c r="Y102" i="1"/>
  <c r="X102" i="1"/>
  <c r="W102" i="1"/>
  <c r="V102" i="1"/>
  <c r="T102" i="1"/>
  <c r="S102" i="1"/>
  <c r="R102" i="1"/>
  <c r="P102" i="1"/>
  <c r="O102" i="1"/>
  <c r="N102" i="1"/>
  <c r="L102" i="1"/>
  <c r="K102" i="1"/>
  <c r="J102" i="1"/>
  <c r="I102" i="1"/>
  <c r="H102" i="1"/>
  <c r="G102" i="1"/>
  <c r="F102" i="1"/>
  <c r="C102" i="1"/>
  <c r="Z101" i="1"/>
  <c r="Y101" i="1"/>
  <c r="X101" i="1"/>
  <c r="W101" i="1"/>
  <c r="V101" i="1"/>
  <c r="T101" i="1"/>
  <c r="S101" i="1"/>
  <c r="R101" i="1"/>
  <c r="P101" i="1"/>
  <c r="O101" i="1"/>
  <c r="N101" i="1"/>
  <c r="L101" i="1"/>
  <c r="K101" i="1"/>
  <c r="J101" i="1"/>
  <c r="M101" i="1" s="1"/>
  <c r="I101" i="1"/>
  <c r="H101" i="1"/>
  <c r="G101" i="1"/>
  <c r="F101" i="1"/>
  <c r="C101" i="1"/>
  <c r="Z100" i="1"/>
  <c r="Y100" i="1"/>
  <c r="X100" i="1"/>
  <c r="W100" i="1"/>
  <c r="V100" i="1"/>
  <c r="T100" i="1"/>
  <c r="S100" i="1"/>
  <c r="R100" i="1"/>
  <c r="P100" i="1"/>
  <c r="O100" i="1"/>
  <c r="N100" i="1"/>
  <c r="L100" i="1"/>
  <c r="K100" i="1"/>
  <c r="J100" i="1"/>
  <c r="I100" i="1"/>
  <c r="H100" i="1"/>
  <c r="G100" i="1"/>
  <c r="F100" i="1"/>
  <c r="C100" i="1"/>
  <c r="Z98" i="1"/>
  <c r="Y98" i="1"/>
  <c r="X98" i="1"/>
  <c r="W98" i="1"/>
  <c r="V98" i="1"/>
  <c r="T98" i="1"/>
  <c r="S98" i="1"/>
  <c r="R98" i="1"/>
  <c r="P98" i="1"/>
  <c r="O98" i="1"/>
  <c r="N98" i="1"/>
  <c r="L98" i="1"/>
  <c r="K98" i="1"/>
  <c r="J98" i="1"/>
  <c r="M98" i="1" s="1"/>
  <c r="I98" i="1"/>
  <c r="H98" i="1"/>
  <c r="G98" i="1"/>
  <c r="F98" i="1"/>
  <c r="C98" i="1"/>
  <c r="Z97" i="1"/>
  <c r="Y97" i="1"/>
  <c r="X97" i="1"/>
  <c r="W97" i="1"/>
  <c r="V97" i="1"/>
  <c r="T97" i="1"/>
  <c r="S97" i="1"/>
  <c r="R97" i="1"/>
  <c r="P97" i="1"/>
  <c r="O97" i="1"/>
  <c r="N97" i="1"/>
  <c r="L97" i="1"/>
  <c r="K97" i="1"/>
  <c r="J97" i="1"/>
  <c r="I97" i="1"/>
  <c r="H97" i="1"/>
  <c r="G97" i="1"/>
  <c r="F97" i="1"/>
  <c r="C97" i="1"/>
  <c r="Z96" i="1"/>
  <c r="Y96" i="1"/>
  <c r="X96" i="1"/>
  <c r="W96" i="1"/>
  <c r="V96" i="1"/>
  <c r="T96" i="1"/>
  <c r="S96" i="1"/>
  <c r="R96" i="1"/>
  <c r="P96" i="1"/>
  <c r="O96" i="1"/>
  <c r="N96" i="1"/>
  <c r="L96" i="1"/>
  <c r="K96" i="1"/>
  <c r="J96" i="1"/>
  <c r="I96" i="1"/>
  <c r="H96" i="1"/>
  <c r="G96" i="1"/>
  <c r="F96" i="1"/>
  <c r="C96" i="1"/>
  <c r="Z95" i="1"/>
  <c r="Y95" i="1"/>
  <c r="X95" i="1"/>
  <c r="W95" i="1"/>
  <c r="V95" i="1"/>
  <c r="T95" i="1"/>
  <c r="S95" i="1"/>
  <c r="R95" i="1"/>
  <c r="P95" i="1"/>
  <c r="O95" i="1"/>
  <c r="N95" i="1"/>
  <c r="L95" i="1"/>
  <c r="K95" i="1"/>
  <c r="J95" i="1"/>
  <c r="I95" i="1"/>
  <c r="H95" i="1"/>
  <c r="G95" i="1"/>
  <c r="F95" i="1"/>
  <c r="C95" i="1"/>
  <c r="Z94" i="1"/>
  <c r="Y94" i="1"/>
  <c r="X94" i="1"/>
  <c r="W94" i="1"/>
  <c r="V94" i="1"/>
  <c r="T94" i="1"/>
  <c r="S94" i="1"/>
  <c r="R94" i="1"/>
  <c r="P94" i="1"/>
  <c r="O94" i="1"/>
  <c r="N94" i="1"/>
  <c r="L94" i="1"/>
  <c r="K94" i="1"/>
  <c r="J94" i="1"/>
  <c r="M94" i="1" s="1"/>
  <c r="I94" i="1"/>
  <c r="H94" i="1"/>
  <c r="G94" i="1"/>
  <c r="F94" i="1"/>
  <c r="C94" i="1"/>
  <c r="Z93" i="1"/>
  <c r="Y93" i="1"/>
  <c r="X93" i="1"/>
  <c r="W93" i="1"/>
  <c r="V93" i="1"/>
  <c r="T93" i="1"/>
  <c r="S93" i="1"/>
  <c r="R93" i="1"/>
  <c r="P93" i="1"/>
  <c r="O93" i="1"/>
  <c r="N93" i="1"/>
  <c r="L93" i="1"/>
  <c r="K93" i="1"/>
  <c r="J93" i="1"/>
  <c r="I93" i="1"/>
  <c r="H93" i="1"/>
  <c r="G93" i="1"/>
  <c r="F93" i="1"/>
  <c r="C93" i="1"/>
  <c r="Z92" i="1"/>
  <c r="Y92" i="1"/>
  <c r="X92" i="1"/>
  <c r="W92" i="1"/>
  <c r="V92" i="1"/>
  <c r="T92" i="1"/>
  <c r="S92" i="1"/>
  <c r="R92" i="1"/>
  <c r="P92" i="1"/>
  <c r="O92" i="1"/>
  <c r="N92" i="1"/>
  <c r="L92" i="1"/>
  <c r="K92" i="1"/>
  <c r="J92" i="1"/>
  <c r="I92" i="1"/>
  <c r="H92" i="1"/>
  <c r="G92" i="1"/>
  <c r="F92" i="1"/>
  <c r="C92" i="1"/>
  <c r="Z91" i="1"/>
  <c r="Y91" i="1"/>
  <c r="X91" i="1"/>
  <c r="W91" i="1"/>
  <c r="V91" i="1"/>
  <c r="T91" i="1"/>
  <c r="S91" i="1"/>
  <c r="R91" i="1"/>
  <c r="P91" i="1"/>
  <c r="O91" i="1"/>
  <c r="N91" i="1"/>
  <c r="L91" i="1"/>
  <c r="K91" i="1"/>
  <c r="J91" i="1"/>
  <c r="I91" i="1"/>
  <c r="H91" i="1"/>
  <c r="G91" i="1"/>
  <c r="F91" i="1"/>
  <c r="C91" i="1"/>
  <c r="Z90" i="1"/>
  <c r="Y90" i="1"/>
  <c r="X90" i="1"/>
  <c r="W90" i="1"/>
  <c r="T90" i="1"/>
  <c r="S90" i="1"/>
  <c r="R90" i="1"/>
  <c r="V90" i="1" s="1"/>
  <c r="P90" i="1"/>
  <c r="O90" i="1"/>
  <c r="N90" i="1"/>
  <c r="L90" i="1"/>
  <c r="K90" i="1"/>
  <c r="J90" i="1"/>
  <c r="M90" i="1" s="1"/>
  <c r="I90" i="1"/>
  <c r="H90" i="1"/>
  <c r="G90" i="1"/>
  <c r="F90" i="1"/>
  <c r="C90" i="1"/>
  <c r="Z89" i="1"/>
  <c r="Y89" i="1"/>
  <c r="X89" i="1"/>
  <c r="W89" i="1"/>
  <c r="T89" i="1"/>
  <c r="S89" i="1"/>
  <c r="R89" i="1"/>
  <c r="V89" i="1" s="1"/>
  <c r="P89" i="1"/>
  <c r="O89" i="1"/>
  <c r="N89" i="1"/>
  <c r="L89" i="1"/>
  <c r="K89" i="1"/>
  <c r="J89" i="1"/>
  <c r="M89" i="1" s="1"/>
  <c r="I89" i="1"/>
  <c r="H89" i="1"/>
  <c r="G89" i="1"/>
  <c r="F89" i="1"/>
  <c r="C89" i="1"/>
  <c r="Z88" i="1"/>
  <c r="Y88" i="1"/>
  <c r="X88" i="1"/>
  <c r="W88" i="1"/>
  <c r="T88" i="1"/>
  <c r="S88" i="1"/>
  <c r="R88" i="1"/>
  <c r="V88" i="1" s="1"/>
  <c r="P88" i="1"/>
  <c r="O88" i="1"/>
  <c r="N88" i="1"/>
  <c r="L88" i="1"/>
  <c r="K88" i="1"/>
  <c r="J88" i="1"/>
  <c r="M88" i="1" s="1"/>
  <c r="I88" i="1"/>
  <c r="H88" i="1"/>
  <c r="G88" i="1"/>
  <c r="F88" i="1"/>
  <c r="C88" i="1"/>
  <c r="Z87" i="1"/>
  <c r="Y87" i="1"/>
  <c r="X87" i="1"/>
  <c r="W87" i="1"/>
  <c r="T87" i="1"/>
  <c r="S87" i="1"/>
  <c r="R87" i="1"/>
  <c r="V87" i="1" s="1"/>
  <c r="P87" i="1"/>
  <c r="O87" i="1"/>
  <c r="N87" i="1"/>
  <c r="L87" i="1"/>
  <c r="K87" i="1"/>
  <c r="J87" i="1"/>
  <c r="M87" i="1" s="1"/>
  <c r="I87" i="1"/>
  <c r="H87" i="1"/>
  <c r="G87" i="1"/>
  <c r="F87" i="1"/>
  <c r="C87" i="1"/>
  <c r="Z86" i="1"/>
  <c r="Y86" i="1"/>
  <c r="X86" i="1"/>
  <c r="W86" i="1"/>
  <c r="T86" i="1"/>
  <c r="S86" i="1"/>
  <c r="R86" i="1"/>
  <c r="V86" i="1" s="1"/>
  <c r="P86" i="1"/>
  <c r="O86" i="1"/>
  <c r="N86" i="1"/>
  <c r="L86" i="1"/>
  <c r="K86" i="1"/>
  <c r="J86" i="1"/>
  <c r="M86" i="1" s="1"/>
  <c r="I86" i="1"/>
  <c r="H86" i="1"/>
  <c r="G86" i="1"/>
  <c r="F86" i="1"/>
  <c r="C86" i="1"/>
  <c r="Z85" i="1"/>
  <c r="Y85" i="1"/>
  <c r="X85" i="1"/>
  <c r="W85" i="1"/>
  <c r="T85" i="1"/>
  <c r="S85" i="1"/>
  <c r="R85" i="1"/>
  <c r="V85" i="1" s="1"/>
  <c r="P85" i="1"/>
  <c r="O85" i="1"/>
  <c r="N85" i="1"/>
  <c r="L85" i="1"/>
  <c r="K85" i="1"/>
  <c r="J85" i="1"/>
  <c r="M85" i="1" s="1"/>
  <c r="I85" i="1"/>
  <c r="H85" i="1"/>
  <c r="G85" i="1"/>
  <c r="F85" i="1"/>
  <c r="C85" i="1"/>
  <c r="Z84" i="1"/>
  <c r="Y84" i="1"/>
  <c r="X84" i="1"/>
  <c r="W84" i="1"/>
  <c r="T84" i="1"/>
  <c r="S84" i="1"/>
  <c r="R84" i="1"/>
  <c r="V84" i="1" s="1"/>
  <c r="P84" i="1"/>
  <c r="O84" i="1"/>
  <c r="N84" i="1"/>
  <c r="L84" i="1"/>
  <c r="K84" i="1"/>
  <c r="J84" i="1"/>
  <c r="M84" i="1" s="1"/>
  <c r="I84" i="1"/>
  <c r="H84" i="1"/>
  <c r="G84" i="1"/>
  <c r="F84" i="1"/>
  <c r="C84" i="1"/>
  <c r="Z83" i="1"/>
  <c r="Y83" i="1"/>
  <c r="X83" i="1"/>
  <c r="W83" i="1"/>
  <c r="T83" i="1"/>
  <c r="S83" i="1"/>
  <c r="R83" i="1"/>
  <c r="V83" i="1" s="1"/>
  <c r="P83" i="1"/>
  <c r="O83" i="1"/>
  <c r="N83" i="1"/>
  <c r="L83" i="1"/>
  <c r="K83" i="1"/>
  <c r="J83" i="1"/>
  <c r="M83" i="1" s="1"/>
  <c r="I83" i="1"/>
  <c r="H83" i="1"/>
  <c r="G83" i="1"/>
  <c r="F83" i="1"/>
  <c r="C83" i="1"/>
  <c r="Z82" i="1"/>
  <c r="Y82" i="1"/>
  <c r="X82" i="1"/>
  <c r="W82" i="1"/>
  <c r="T82" i="1"/>
  <c r="S82" i="1"/>
  <c r="R82" i="1"/>
  <c r="V82" i="1" s="1"/>
  <c r="P82" i="1"/>
  <c r="O82" i="1"/>
  <c r="N82" i="1"/>
  <c r="L82" i="1"/>
  <c r="K82" i="1"/>
  <c r="J82" i="1"/>
  <c r="M82" i="1" s="1"/>
  <c r="I82" i="1"/>
  <c r="H82" i="1"/>
  <c r="G82" i="1"/>
  <c r="F82" i="1"/>
  <c r="C82" i="1"/>
  <c r="Z81" i="1"/>
  <c r="Y81" i="1"/>
  <c r="X81" i="1"/>
  <c r="W81" i="1"/>
  <c r="T81" i="1"/>
  <c r="S81" i="1"/>
  <c r="R81" i="1"/>
  <c r="V81" i="1" s="1"/>
  <c r="P81" i="1"/>
  <c r="O81" i="1"/>
  <c r="N81" i="1"/>
  <c r="L81" i="1"/>
  <c r="K81" i="1"/>
  <c r="J81" i="1"/>
  <c r="M81" i="1" s="1"/>
  <c r="I81" i="1"/>
  <c r="H81" i="1"/>
  <c r="G81" i="1"/>
  <c r="F81" i="1"/>
  <c r="C81" i="1"/>
  <c r="Z80" i="1"/>
  <c r="Y80" i="1"/>
  <c r="X80" i="1"/>
  <c r="W80" i="1"/>
  <c r="T80" i="1"/>
  <c r="S80" i="1"/>
  <c r="R80" i="1"/>
  <c r="V80" i="1" s="1"/>
  <c r="P80" i="1"/>
  <c r="O80" i="1"/>
  <c r="N80" i="1"/>
  <c r="L80" i="1"/>
  <c r="K80" i="1"/>
  <c r="J80" i="1"/>
  <c r="M80" i="1" s="1"/>
  <c r="I80" i="1"/>
  <c r="H80" i="1"/>
  <c r="G80" i="1"/>
  <c r="F80" i="1"/>
  <c r="C80" i="1"/>
  <c r="Z79" i="1"/>
  <c r="Y79" i="1"/>
  <c r="X79" i="1"/>
  <c r="W79" i="1"/>
  <c r="T79" i="1"/>
  <c r="S79" i="1"/>
  <c r="R79" i="1"/>
  <c r="V79" i="1" s="1"/>
  <c r="P79" i="1"/>
  <c r="O79" i="1"/>
  <c r="N79" i="1"/>
  <c r="L79" i="1"/>
  <c r="K79" i="1"/>
  <c r="J79" i="1"/>
  <c r="M79" i="1" s="1"/>
  <c r="I79" i="1"/>
  <c r="H79" i="1"/>
  <c r="G79" i="1"/>
  <c r="F79" i="1"/>
  <c r="C79" i="1"/>
  <c r="Z78" i="1"/>
  <c r="Y78" i="1"/>
  <c r="X78" i="1"/>
  <c r="W78" i="1"/>
  <c r="T78" i="1"/>
  <c r="S78" i="1"/>
  <c r="R78" i="1"/>
  <c r="V78" i="1" s="1"/>
  <c r="P78" i="1"/>
  <c r="O78" i="1"/>
  <c r="N78" i="1"/>
  <c r="L78" i="1"/>
  <c r="K78" i="1"/>
  <c r="J78" i="1"/>
  <c r="M78" i="1" s="1"/>
  <c r="I78" i="1"/>
  <c r="H78" i="1"/>
  <c r="G78" i="1"/>
  <c r="F78" i="1"/>
  <c r="C78" i="1"/>
  <c r="Z77" i="1"/>
  <c r="Y77" i="1"/>
  <c r="X77" i="1"/>
  <c r="W77" i="1"/>
  <c r="T77" i="1"/>
  <c r="S77" i="1"/>
  <c r="R77" i="1"/>
  <c r="V77" i="1" s="1"/>
  <c r="P77" i="1"/>
  <c r="O77" i="1"/>
  <c r="N77" i="1"/>
  <c r="L77" i="1"/>
  <c r="K77" i="1"/>
  <c r="J77" i="1"/>
  <c r="M77" i="1" s="1"/>
  <c r="I77" i="1"/>
  <c r="H77" i="1"/>
  <c r="G77" i="1"/>
  <c r="F77" i="1"/>
  <c r="C77" i="1"/>
  <c r="Z76" i="1"/>
  <c r="Y76" i="1"/>
  <c r="X76" i="1"/>
  <c r="W76" i="1"/>
  <c r="T76" i="1"/>
  <c r="S76" i="1"/>
  <c r="R76" i="1"/>
  <c r="V76" i="1" s="1"/>
  <c r="P76" i="1"/>
  <c r="O76" i="1"/>
  <c r="N76" i="1"/>
  <c r="L76" i="1"/>
  <c r="K76" i="1"/>
  <c r="J76" i="1"/>
  <c r="M76" i="1" s="1"/>
  <c r="I76" i="1"/>
  <c r="H76" i="1"/>
  <c r="G76" i="1"/>
  <c r="F76" i="1"/>
  <c r="C76" i="1"/>
  <c r="Z75" i="1"/>
  <c r="Y75" i="1"/>
  <c r="X75" i="1"/>
  <c r="W75" i="1"/>
  <c r="T75" i="1"/>
  <c r="S75" i="1"/>
  <c r="R75" i="1"/>
  <c r="V75" i="1" s="1"/>
  <c r="P75" i="1"/>
  <c r="O75" i="1"/>
  <c r="N75" i="1"/>
  <c r="L75" i="1"/>
  <c r="K75" i="1"/>
  <c r="J75" i="1"/>
  <c r="M75" i="1" s="1"/>
  <c r="I75" i="1"/>
  <c r="H75" i="1"/>
  <c r="G75" i="1"/>
  <c r="F75" i="1"/>
  <c r="C75" i="1"/>
  <c r="Z74" i="1"/>
  <c r="Y74" i="1"/>
  <c r="X74" i="1"/>
  <c r="W74" i="1"/>
  <c r="T74" i="1"/>
  <c r="S74" i="1"/>
  <c r="R74" i="1"/>
  <c r="V74" i="1" s="1"/>
  <c r="P74" i="1"/>
  <c r="O74" i="1"/>
  <c r="N74" i="1"/>
  <c r="L74" i="1"/>
  <c r="K74" i="1"/>
  <c r="J74" i="1"/>
  <c r="M74" i="1" s="1"/>
  <c r="I74" i="1"/>
  <c r="H74" i="1"/>
  <c r="G74" i="1"/>
  <c r="F74" i="1"/>
  <c r="C74" i="1"/>
  <c r="Z73" i="1"/>
  <c r="Y73" i="1"/>
  <c r="X73" i="1"/>
  <c r="W73" i="1"/>
  <c r="T73" i="1"/>
  <c r="S73" i="1"/>
  <c r="R73" i="1"/>
  <c r="V73" i="1" s="1"/>
  <c r="P73" i="1"/>
  <c r="O73" i="1"/>
  <c r="N73" i="1"/>
  <c r="L73" i="1"/>
  <c r="K73" i="1"/>
  <c r="J73" i="1"/>
  <c r="M73" i="1" s="1"/>
  <c r="I73" i="1"/>
  <c r="H73" i="1"/>
  <c r="G73" i="1"/>
  <c r="F73" i="1"/>
  <c r="C73" i="1"/>
  <c r="Z72" i="1"/>
  <c r="Y72" i="1"/>
  <c r="X72" i="1"/>
  <c r="W72" i="1"/>
  <c r="T72" i="1"/>
  <c r="S72" i="1"/>
  <c r="R72" i="1"/>
  <c r="V72" i="1" s="1"/>
  <c r="P72" i="1"/>
  <c r="O72" i="1"/>
  <c r="N72" i="1"/>
  <c r="L72" i="1"/>
  <c r="K72" i="1"/>
  <c r="J72" i="1"/>
  <c r="M72" i="1" s="1"/>
  <c r="I72" i="1"/>
  <c r="H72" i="1"/>
  <c r="G72" i="1"/>
  <c r="F72" i="1"/>
  <c r="C72" i="1"/>
  <c r="Z71" i="1"/>
  <c r="Y71" i="1"/>
  <c r="X71" i="1"/>
  <c r="W71" i="1"/>
  <c r="T71" i="1"/>
  <c r="S71" i="1"/>
  <c r="R71" i="1"/>
  <c r="V71" i="1" s="1"/>
  <c r="P71" i="1"/>
  <c r="O71" i="1"/>
  <c r="N71" i="1"/>
  <c r="L71" i="1"/>
  <c r="K71" i="1"/>
  <c r="J71" i="1"/>
  <c r="M71" i="1" s="1"/>
  <c r="I71" i="1"/>
  <c r="H71" i="1"/>
  <c r="G71" i="1"/>
  <c r="F71" i="1"/>
  <c r="C71" i="1"/>
  <c r="Z70" i="1"/>
  <c r="Y70" i="1"/>
  <c r="X70" i="1"/>
  <c r="W70" i="1"/>
  <c r="T70" i="1"/>
  <c r="S70" i="1"/>
  <c r="R70" i="1"/>
  <c r="V70" i="1" s="1"/>
  <c r="P70" i="1"/>
  <c r="O70" i="1"/>
  <c r="N70" i="1"/>
  <c r="L70" i="1"/>
  <c r="K70" i="1"/>
  <c r="J70" i="1"/>
  <c r="M70" i="1" s="1"/>
  <c r="I70" i="1"/>
  <c r="H70" i="1"/>
  <c r="G70" i="1"/>
  <c r="F70" i="1"/>
  <c r="C70" i="1"/>
  <c r="Z69" i="1"/>
  <c r="Y69" i="1"/>
  <c r="X69" i="1"/>
  <c r="W69" i="1"/>
  <c r="T69" i="1"/>
  <c r="S69" i="1"/>
  <c r="R69" i="1"/>
  <c r="V69" i="1" s="1"/>
  <c r="P69" i="1"/>
  <c r="O69" i="1"/>
  <c r="N69" i="1"/>
  <c r="L69" i="1"/>
  <c r="K69" i="1"/>
  <c r="J69" i="1"/>
  <c r="M69" i="1" s="1"/>
  <c r="I69" i="1"/>
  <c r="H69" i="1"/>
  <c r="G69" i="1"/>
  <c r="F69" i="1"/>
  <c r="C69" i="1"/>
  <c r="Z68" i="1"/>
  <c r="Y68" i="1"/>
  <c r="X68" i="1"/>
  <c r="W68" i="1"/>
  <c r="T68" i="1"/>
  <c r="S68" i="1"/>
  <c r="R68" i="1"/>
  <c r="V68" i="1" s="1"/>
  <c r="P68" i="1"/>
  <c r="O68" i="1"/>
  <c r="N68" i="1"/>
  <c r="L68" i="1"/>
  <c r="K68" i="1"/>
  <c r="J68" i="1"/>
  <c r="M68" i="1" s="1"/>
  <c r="I68" i="1"/>
  <c r="H68" i="1"/>
  <c r="G68" i="1"/>
  <c r="F68" i="1"/>
  <c r="C68" i="1"/>
  <c r="Z67" i="1"/>
  <c r="Y67" i="1"/>
  <c r="X67" i="1"/>
  <c r="W67" i="1"/>
  <c r="T67" i="1"/>
  <c r="S67" i="1"/>
  <c r="R67" i="1"/>
  <c r="V67" i="1" s="1"/>
  <c r="P67" i="1"/>
  <c r="O67" i="1"/>
  <c r="N67" i="1"/>
  <c r="L67" i="1"/>
  <c r="K67" i="1"/>
  <c r="J67" i="1"/>
  <c r="M67" i="1" s="1"/>
  <c r="I67" i="1"/>
  <c r="H67" i="1"/>
  <c r="G67" i="1"/>
  <c r="F67" i="1"/>
  <c r="C67" i="1"/>
  <c r="Z66" i="1"/>
  <c r="Y66" i="1"/>
  <c r="X66" i="1"/>
  <c r="W66" i="1"/>
  <c r="T66" i="1"/>
  <c r="S66" i="1"/>
  <c r="R66" i="1"/>
  <c r="V66" i="1" s="1"/>
  <c r="P66" i="1"/>
  <c r="O66" i="1"/>
  <c r="N66" i="1"/>
  <c r="L66" i="1"/>
  <c r="K66" i="1"/>
  <c r="J66" i="1"/>
  <c r="M66" i="1" s="1"/>
  <c r="I66" i="1"/>
  <c r="H66" i="1"/>
  <c r="G66" i="1"/>
  <c r="F66" i="1"/>
  <c r="C66" i="1"/>
  <c r="Z65" i="1"/>
  <c r="Y65" i="1"/>
  <c r="X65" i="1"/>
  <c r="W65" i="1"/>
  <c r="T65" i="1"/>
  <c r="S65" i="1"/>
  <c r="R65" i="1"/>
  <c r="V65" i="1" s="1"/>
  <c r="P65" i="1"/>
  <c r="O65" i="1"/>
  <c r="N65" i="1"/>
  <c r="L65" i="1"/>
  <c r="K65" i="1"/>
  <c r="J65" i="1"/>
  <c r="M65" i="1" s="1"/>
  <c r="I65" i="1"/>
  <c r="H65" i="1"/>
  <c r="G65" i="1"/>
  <c r="F65" i="1"/>
  <c r="C65" i="1"/>
  <c r="Z64" i="1"/>
  <c r="Y64" i="1"/>
  <c r="X64" i="1"/>
  <c r="W64" i="1"/>
  <c r="T64" i="1"/>
  <c r="S64" i="1"/>
  <c r="R64" i="1"/>
  <c r="V64" i="1" s="1"/>
  <c r="P64" i="1"/>
  <c r="O64" i="1"/>
  <c r="N64" i="1"/>
  <c r="L64" i="1"/>
  <c r="K64" i="1"/>
  <c r="J64" i="1"/>
  <c r="M64" i="1" s="1"/>
  <c r="I64" i="1"/>
  <c r="H64" i="1"/>
  <c r="G64" i="1"/>
  <c r="F64" i="1"/>
  <c r="C64" i="1"/>
  <c r="Z62" i="1"/>
  <c r="Y62" i="1"/>
  <c r="X62" i="1"/>
  <c r="W62" i="1"/>
  <c r="T62" i="1"/>
  <c r="S62" i="1"/>
  <c r="R62" i="1"/>
  <c r="V62" i="1" s="1"/>
  <c r="P62" i="1"/>
  <c r="O62" i="1"/>
  <c r="N62" i="1"/>
  <c r="L62" i="1"/>
  <c r="K62" i="1"/>
  <c r="J62" i="1"/>
  <c r="M62" i="1" s="1"/>
  <c r="I62" i="1"/>
  <c r="H62" i="1"/>
  <c r="G62" i="1"/>
  <c r="F62" i="1"/>
  <c r="C62" i="1"/>
  <c r="Z61" i="1"/>
  <c r="Y61" i="1"/>
  <c r="X61" i="1"/>
  <c r="W61" i="1"/>
  <c r="T61" i="1"/>
  <c r="S61" i="1"/>
  <c r="R61" i="1"/>
  <c r="V61" i="1" s="1"/>
  <c r="P61" i="1"/>
  <c r="O61" i="1"/>
  <c r="N61" i="1"/>
  <c r="L61" i="1"/>
  <c r="K61" i="1"/>
  <c r="J61" i="1"/>
  <c r="M61" i="1" s="1"/>
  <c r="I61" i="1"/>
  <c r="H61" i="1"/>
  <c r="G61" i="1"/>
  <c r="F61" i="1"/>
  <c r="C61" i="1"/>
  <c r="Z60" i="1"/>
  <c r="Y60" i="1"/>
  <c r="X60" i="1"/>
  <c r="W60" i="1"/>
  <c r="V60" i="1"/>
  <c r="T60" i="1"/>
  <c r="S60" i="1"/>
  <c r="P60" i="1"/>
  <c r="O60" i="1"/>
  <c r="N60" i="1"/>
  <c r="L60" i="1"/>
  <c r="K60" i="1"/>
  <c r="J60" i="1"/>
  <c r="M60" i="1" s="1"/>
  <c r="I60" i="1"/>
  <c r="H60" i="1"/>
  <c r="G60" i="1"/>
  <c r="F60" i="1"/>
  <c r="C60" i="1"/>
  <c r="Z59" i="1"/>
  <c r="Y59" i="1"/>
  <c r="X59" i="1"/>
  <c r="W59" i="1"/>
  <c r="T59" i="1"/>
  <c r="S59" i="1"/>
  <c r="R59" i="1"/>
  <c r="V59" i="1" s="1"/>
  <c r="P59" i="1"/>
  <c r="O59" i="1"/>
  <c r="N59" i="1"/>
  <c r="L59" i="1"/>
  <c r="K59" i="1"/>
  <c r="J59" i="1"/>
  <c r="M59" i="1" s="1"/>
  <c r="I59" i="1"/>
  <c r="H59" i="1"/>
  <c r="G59" i="1"/>
  <c r="F59" i="1"/>
  <c r="C59" i="1"/>
  <c r="Z58" i="1"/>
  <c r="Y58" i="1"/>
  <c r="X58" i="1"/>
  <c r="W58" i="1"/>
  <c r="T58" i="1"/>
  <c r="S58" i="1"/>
  <c r="R58" i="1"/>
  <c r="V58" i="1" s="1"/>
  <c r="P58" i="1"/>
  <c r="O58" i="1"/>
  <c r="N58" i="1"/>
  <c r="L58" i="1"/>
  <c r="K58" i="1"/>
  <c r="J58" i="1"/>
  <c r="M58" i="1" s="1"/>
  <c r="I58" i="1"/>
  <c r="H58" i="1"/>
  <c r="G58" i="1"/>
  <c r="F58" i="1"/>
  <c r="C58" i="1"/>
  <c r="Z57" i="1"/>
  <c r="Y57" i="1"/>
  <c r="X57" i="1"/>
  <c r="W57" i="1"/>
  <c r="T57" i="1"/>
  <c r="S57" i="1"/>
  <c r="R57" i="1"/>
  <c r="V57" i="1" s="1"/>
  <c r="P57" i="1"/>
  <c r="O57" i="1"/>
  <c r="N57" i="1"/>
  <c r="L57" i="1"/>
  <c r="K57" i="1"/>
  <c r="J57" i="1"/>
  <c r="M57" i="1" s="1"/>
  <c r="I57" i="1"/>
  <c r="H57" i="1"/>
  <c r="G57" i="1"/>
  <c r="F57" i="1"/>
  <c r="C57" i="1"/>
  <c r="Z56" i="1"/>
  <c r="Y56" i="1"/>
  <c r="X56" i="1"/>
  <c r="W56" i="1"/>
  <c r="T56" i="1"/>
  <c r="S56" i="1"/>
  <c r="R56" i="1"/>
  <c r="V56" i="1" s="1"/>
  <c r="P56" i="1"/>
  <c r="O56" i="1"/>
  <c r="N56" i="1"/>
  <c r="L56" i="1"/>
  <c r="K56" i="1"/>
  <c r="J56" i="1"/>
  <c r="M56" i="1" s="1"/>
  <c r="I56" i="1"/>
  <c r="H56" i="1"/>
  <c r="G56" i="1"/>
  <c r="F56" i="1"/>
  <c r="C56" i="1"/>
  <c r="Z55" i="1"/>
  <c r="Y55" i="1"/>
  <c r="X55" i="1"/>
  <c r="W55" i="1"/>
  <c r="T55" i="1"/>
  <c r="S55" i="1"/>
  <c r="R55" i="1"/>
  <c r="V55" i="1" s="1"/>
  <c r="P55" i="1"/>
  <c r="O55" i="1"/>
  <c r="N55" i="1"/>
  <c r="L55" i="1"/>
  <c r="K55" i="1"/>
  <c r="J55" i="1"/>
  <c r="M55" i="1" s="1"/>
  <c r="I55" i="1"/>
  <c r="H55" i="1"/>
  <c r="G55" i="1"/>
  <c r="F55" i="1"/>
  <c r="C55" i="1"/>
  <c r="Z54" i="1"/>
  <c r="Y54" i="1"/>
  <c r="X54" i="1"/>
  <c r="W54" i="1"/>
  <c r="T54" i="1"/>
  <c r="S54" i="1"/>
  <c r="R54" i="1"/>
  <c r="V54" i="1" s="1"/>
  <c r="P54" i="1"/>
  <c r="O54" i="1"/>
  <c r="N54" i="1"/>
  <c r="L54" i="1"/>
  <c r="K54" i="1"/>
  <c r="J54" i="1"/>
  <c r="M54" i="1" s="1"/>
  <c r="I54" i="1"/>
  <c r="H54" i="1"/>
  <c r="G54" i="1"/>
  <c r="F54" i="1"/>
  <c r="C54" i="1"/>
  <c r="Z53" i="1"/>
  <c r="Y53" i="1"/>
  <c r="X53" i="1"/>
  <c r="W53" i="1"/>
  <c r="T53" i="1"/>
  <c r="S53" i="1"/>
  <c r="R53" i="1"/>
  <c r="V53" i="1" s="1"/>
  <c r="P53" i="1"/>
  <c r="O53" i="1"/>
  <c r="N53" i="1"/>
  <c r="L53" i="1"/>
  <c r="K53" i="1"/>
  <c r="J53" i="1"/>
  <c r="M53" i="1" s="1"/>
  <c r="I53" i="1"/>
  <c r="H53" i="1"/>
  <c r="G53" i="1"/>
  <c r="F53" i="1"/>
  <c r="C53" i="1"/>
  <c r="Z52" i="1"/>
  <c r="Y52" i="1"/>
  <c r="X52" i="1"/>
  <c r="W52" i="1"/>
  <c r="T52" i="1"/>
  <c r="S52" i="1"/>
  <c r="R52" i="1"/>
  <c r="V52" i="1" s="1"/>
  <c r="P52" i="1"/>
  <c r="O52" i="1"/>
  <c r="N52" i="1"/>
  <c r="L52" i="1"/>
  <c r="K52" i="1"/>
  <c r="J52" i="1"/>
  <c r="M52" i="1" s="1"/>
  <c r="I52" i="1"/>
  <c r="H52" i="1"/>
  <c r="G52" i="1"/>
  <c r="F52" i="1"/>
  <c r="C52" i="1"/>
  <c r="Z51" i="1"/>
  <c r="Y51" i="1"/>
  <c r="X51" i="1"/>
  <c r="W51" i="1"/>
  <c r="T51" i="1"/>
  <c r="S51" i="1"/>
  <c r="R51" i="1"/>
  <c r="V51" i="1" s="1"/>
  <c r="P51" i="1"/>
  <c r="O51" i="1"/>
  <c r="N51" i="1"/>
  <c r="L51" i="1"/>
  <c r="K51" i="1"/>
  <c r="J51" i="1"/>
  <c r="M51" i="1" s="1"/>
  <c r="I51" i="1"/>
  <c r="H51" i="1"/>
  <c r="G51" i="1"/>
  <c r="F51" i="1"/>
  <c r="C51" i="1"/>
  <c r="Z50" i="1"/>
  <c r="Y50" i="1"/>
  <c r="X50" i="1"/>
  <c r="W50" i="1"/>
  <c r="T50" i="1"/>
  <c r="S50" i="1"/>
  <c r="R50" i="1"/>
  <c r="V50" i="1" s="1"/>
  <c r="P50" i="1"/>
  <c r="O50" i="1"/>
  <c r="N50" i="1"/>
  <c r="L50" i="1"/>
  <c r="K50" i="1"/>
  <c r="J50" i="1"/>
  <c r="M50" i="1" s="1"/>
  <c r="I50" i="1"/>
  <c r="H50" i="1"/>
  <c r="G50" i="1"/>
  <c r="F50" i="1"/>
  <c r="C50" i="1"/>
  <c r="Z49" i="1"/>
  <c r="Y49" i="1"/>
  <c r="X49" i="1"/>
  <c r="W49" i="1"/>
  <c r="T49" i="1"/>
  <c r="S49" i="1"/>
  <c r="R49" i="1"/>
  <c r="V49" i="1" s="1"/>
  <c r="P49" i="1"/>
  <c r="O49" i="1"/>
  <c r="N49" i="1"/>
  <c r="L49" i="1"/>
  <c r="K49" i="1"/>
  <c r="J49" i="1"/>
  <c r="M49" i="1" s="1"/>
  <c r="I49" i="1"/>
  <c r="H49" i="1"/>
  <c r="G49" i="1"/>
  <c r="F49" i="1"/>
  <c r="C49" i="1"/>
  <c r="Z48" i="1"/>
  <c r="Y48" i="1"/>
  <c r="X48" i="1"/>
  <c r="W48" i="1"/>
  <c r="T48" i="1"/>
  <c r="S48" i="1"/>
  <c r="R48" i="1"/>
  <c r="V48" i="1" s="1"/>
  <c r="P48" i="1"/>
  <c r="O48" i="1"/>
  <c r="N48" i="1"/>
  <c r="L48" i="1"/>
  <c r="K48" i="1"/>
  <c r="J48" i="1"/>
  <c r="M48" i="1" s="1"/>
  <c r="I48" i="1"/>
  <c r="H48" i="1"/>
  <c r="G48" i="1"/>
  <c r="F48" i="1"/>
  <c r="C48" i="1"/>
  <c r="Z47" i="1"/>
  <c r="Y47" i="1"/>
  <c r="X47" i="1"/>
  <c r="W47" i="1"/>
  <c r="T47" i="1"/>
  <c r="S47" i="1"/>
  <c r="R47" i="1"/>
  <c r="V47" i="1" s="1"/>
  <c r="P47" i="1"/>
  <c r="O47" i="1"/>
  <c r="N47" i="1"/>
  <c r="L47" i="1"/>
  <c r="K47" i="1"/>
  <c r="J47" i="1"/>
  <c r="M47" i="1" s="1"/>
  <c r="I47" i="1"/>
  <c r="H47" i="1"/>
  <c r="G47" i="1"/>
  <c r="F47" i="1"/>
  <c r="C47" i="1"/>
  <c r="Z46" i="1"/>
  <c r="Y46" i="1"/>
  <c r="X46" i="1"/>
  <c r="W46" i="1"/>
  <c r="T46" i="1"/>
  <c r="S46" i="1"/>
  <c r="R46" i="1"/>
  <c r="V46" i="1" s="1"/>
  <c r="P46" i="1"/>
  <c r="O46" i="1"/>
  <c r="N46" i="1"/>
  <c r="L46" i="1"/>
  <c r="K46" i="1"/>
  <c r="J46" i="1"/>
  <c r="M46" i="1" s="1"/>
  <c r="I46" i="1"/>
  <c r="H46" i="1"/>
  <c r="G46" i="1"/>
  <c r="F46" i="1"/>
  <c r="C46" i="1"/>
  <c r="Z45" i="1"/>
  <c r="Y45" i="1"/>
  <c r="X45" i="1"/>
  <c r="W45" i="1"/>
  <c r="T45" i="1"/>
  <c r="S45" i="1"/>
  <c r="R45" i="1"/>
  <c r="V45" i="1" s="1"/>
  <c r="P45" i="1"/>
  <c r="O45" i="1"/>
  <c r="N45" i="1"/>
  <c r="L45" i="1"/>
  <c r="K45" i="1"/>
  <c r="J45" i="1"/>
  <c r="M45" i="1" s="1"/>
  <c r="I45" i="1"/>
  <c r="H45" i="1"/>
  <c r="G45" i="1"/>
  <c r="F45" i="1"/>
  <c r="C45" i="1"/>
  <c r="Z44" i="1"/>
  <c r="Y44" i="1"/>
  <c r="X44" i="1"/>
  <c r="W44" i="1"/>
  <c r="T44" i="1"/>
  <c r="S44" i="1"/>
  <c r="R44" i="1"/>
  <c r="V44" i="1" s="1"/>
  <c r="P44" i="1"/>
  <c r="O44" i="1"/>
  <c r="N44" i="1"/>
  <c r="L44" i="1"/>
  <c r="K44" i="1"/>
  <c r="J44" i="1"/>
  <c r="M44" i="1" s="1"/>
  <c r="I44" i="1"/>
  <c r="H44" i="1"/>
  <c r="G44" i="1"/>
  <c r="F44" i="1"/>
  <c r="C44" i="1"/>
  <c r="Z43" i="1"/>
  <c r="Y43" i="1"/>
  <c r="X43" i="1"/>
  <c r="W43" i="1"/>
  <c r="T43" i="1"/>
  <c r="S43" i="1"/>
  <c r="R43" i="1"/>
  <c r="V43" i="1" s="1"/>
  <c r="P43" i="1"/>
  <c r="O43" i="1"/>
  <c r="N43" i="1"/>
  <c r="L43" i="1"/>
  <c r="K43" i="1"/>
  <c r="J43" i="1"/>
  <c r="M43" i="1" s="1"/>
  <c r="I43" i="1"/>
  <c r="H43" i="1"/>
  <c r="G43" i="1"/>
  <c r="F43" i="1"/>
  <c r="C43" i="1"/>
  <c r="Z42" i="1"/>
  <c r="Y42" i="1"/>
  <c r="X42" i="1"/>
  <c r="W42" i="1"/>
  <c r="T42" i="1"/>
  <c r="S42" i="1"/>
  <c r="R42" i="1"/>
  <c r="V42" i="1" s="1"/>
  <c r="P42" i="1"/>
  <c r="O42" i="1"/>
  <c r="N42" i="1"/>
  <c r="L42" i="1"/>
  <c r="K42" i="1"/>
  <c r="J42" i="1"/>
  <c r="M42" i="1" s="1"/>
  <c r="I42" i="1"/>
  <c r="H42" i="1"/>
  <c r="G42" i="1"/>
  <c r="F42" i="1"/>
  <c r="C42" i="1"/>
  <c r="Z41" i="1"/>
  <c r="Y41" i="1"/>
  <c r="X41" i="1"/>
  <c r="W41" i="1"/>
  <c r="T41" i="1"/>
  <c r="S41" i="1"/>
  <c r="R41" i="1"/>
  <c r="V41" i="1" s="1"/>
  <c r="P41" i="1"/>
  <c r="O41" i="1"/>
  <c r="N41" i="1"/>
  <c r="L41" i="1"/>
  <c r="K41" i="1"/>
  <c r="J41" i="1"/>
  <c r="M41" i="1" s="1"/>
  <c r="I41" i="1"/>
  <c r="H41" i="1"/>
  <c r="G41" i="1"/>
  <c r="F41" i="1"/>
  <c r="C41" i="1"/>
  <c r="Z40" i="1"/>
  <c r="Y40" i="1"/>
  <c r="X40" i="1"/>
  <c r="W40" i="1"/>
  <c r="T40" i="1"/>
  <c r="S40" i="1"/>
  <c r="R40" i="1"/>
  <c r="V40" i="1" s="1"/>
  <c r="P40" i="1"/>
  <c r="O40" i="1"/>
  <c r="N40" i="1"/>
  <c r="L40" i="1"/>
  <c r="K40" i="1"/>
  <c r="J40" i="1"/>
  <c r="M40" i="1" s="1"/>
  <c r="I40" i="1"/>
  <c r="H40" i="1"/>
  <c r="G40" i="1"/>
  <c r="F40" i="1"/>
  <c r="C40" i="1"/>
  <c r="Z39" i="1"/>
  <c r="Y39" i="1"/>
  <c r="X39" i="1"/>
  <c r="W39" i="1"/>
  <c r="T39" i="1"/>
  <c r="S39" i="1"/>
  <c r="R39" i="1"/>
  <c r="V39" i="1" s="1"/>
  <c r="P39" i="1"/>
  <c r="O39" i="1"/>
  <c r="N39" i="1"/>
  <c r="L39" i="1"/>
  <c r="K39" i="1"/>
  <c r="J39" i="1"/>
  <c r="M39" i="1" s="1"/>
  <c r="I39" i="1"/>
  <c r="H39" i="1"/>
  <c r="G39" i="1"/>
  <c r="F39" i="1"/>
  <c r="C39" i="1"/>
  <c r="Z37" i="1"/>
  <c r="Y37" i="1"/>
  <c r="X37" i="1"/>
  <c r="W37" i="1"/>
  <c r="T37" i="1"/>
  <c r="S37" i="1"/>
  <c r="R37" i="1"/>
  <c r="V37" i="1" s="1"/>
  <c r="P37" i="1"/>
  <c r="O37" i="1"/>
  <c r="N37" i="1"/>
  <c r="L37" i="1"/>
  <c r="K37" i="1"/>
  <c r="J37" i="1"/>
  <c r="M37" i="1" s="1"/>
  <c r="I37" i="1"/>
  <c r="H37" i="1"/>
  <c r="G37" i="1"/>
  <c r="F37" i="1"/>
  <c r="C37" i="1"/>
  <c r="Z36" i="1"/>
  <c r="Y36" i="1"/>
  <c r="X36" i="1"/>
  <c r="W36" i="1"/>
  <c r="T36" i="1"/>
  <c r="S36" i="1"/>
  <c r="R36" i="1"/>
  <c r="V36" i="1" s="1"/>
  <c r="P36" i="1"/>
  <c r="O36" i="1"/>
  <c r="N36" i="1"/>
  <c r="L36" i="1"/>
  <c r="K36" i="1"/>
  <c r="J36" i="1"/>
  <c r="M36" i="1" s="1"/>
  <c r="I36" i="1"/>
  <c r="H36" i="1"/>
  <c r="G36" i="1"/>
  <c r="F36" i="1"/>
  <c r="C36" i="1"/>
  <c r="Z35" i="1"/>
  <c r="Y35" i="1"/>
  <c r="X35" i="1"/>
  <c r="W35" i="1"/>
  <c r="T35" i="1"/>
  <c r="S35" i="1"/>
  <c r="R35" i="1"/>
  <c r="V35" i="1" s="1"/>
  <c r="P35" i="1"/>
  <c r="O35" i="1"/>
  <c r="N35" i="1"/>
  <c r="L35" i="1"/>
  <c r="K35" i="1"/>
  <c r="J35" i="1"/>
  <c r="M35" i="1" s="1"/>
  <c r="I35" i="1"/>
  <c r="H35" i="1"/>
  <c r="G35" i="1"/>
  <c r="F35" i="1"/>
  <c r="C35" i="1"/>
  <c r="Z34" i="1"/>
  <c r="Y34" i="1"/>
  <c r="X34" i="1"/>
  <c r="W34" i="1"/>
  <c r="T34" i="1"/>
  <c r="S34" i="1"/>
  <c r="R34" i="1"/>
  <c r="V34" i="1" s="1"/>
  <c r="P34" i="1"/>
  <c r="O34" i="1"/>
  <c r="N34" i="1"/>
  <c r="L34" i="1"/>
  <c r="K34" i="1"/>
  <c r="J34" i="1"/>
  <c r="M34" i="1" s="1"/>
  <c r="I34" i="1"/>
  <c r="H34" i="1"/>
  <c r="G34" i="1"/>
  <c r="F34" i="1"/>
  <c r="C34" i="1"/>
  <c r="Z33" i="1"/>
  <c r="Y33" i="1"/>
  <c r="X33" i="1"/>
  <c r="W33" i="1"/>
  <c r="T33" i="1"/>
  <c r="S33" i="1"/>
  <c r="R33" i="1"/>
  <c r="V33" i="1" s="1"/>
  <c r="P33" i="1"/>
  <c r="O33" i="1"/>
  <c r="N33" i="1"/>
  <c r="L33" i="1"/>
  <c r="K33" i="1"/>
  <c r="J33" i="1"/>
  <c r="M33" i="1" s="1"/>
  <c r="I33" i="1"/>
  <c r="H33" i="1"/>
  <c r="G33" i="1"/>
  <c r="F33" i="1"/>
  <c r="C33" i="1"/>
  <c r="Z32" i="1"/>
  <c r="Y32" i="1"/>
  <c r="X32" i="1"/>
  <c r="W32" i="1"/>
  <c r="T32" i="1"/>
  <c r="S32" i="1"/>
  <c r="R32" i="1"/>
  <c r="V32" i="1" s="1"/>
  <c r="P32" i="1"/>
  <c r="O32" i="1"/>
  <c r="N32" i="1"/>
  <c r="L32" i="1"/>
  <c r="K32" i="1"/>
  <c r="J32" i="1"/>
  <c r="M32" i="1" s="1"/>
  <c r="I32" i="1"/>
  <c r="H32" i="1"/>
  <c r="G32" i="1"/>
  <c r="F32" i="1"/>
  <c r="C32" i="1"/>
  <c r="Z30" i="1"/>
  <c r="Y30" i="1"/>
  <c r="X30" i="1"/>
  <c r="W30" i="1"/>
  <c r="T30" i="1"/>
  <c r="S30" i="1"/>
  <c r="R30" i="1"/>
  <c r="V30" i="1" s="1"/>
  <c r="P30" i="1"/>
  <c r="O30" i="1"/>
  <c r="N30" i="1"/>
  <c r="L30" i="1"/>
  <c r="K30" i="1"/>
  <c r="J30" i="1"/>
  <c r="M30" i="1" s="1"/>
  <c r="I30" i="1"/>
  <c r="H30" i="1"/>
  <c r="G30" i="1"/>
  <c r="F30" i="1"/>
  <c r="C30" i="1"/>
  <c r="Z29" i="1"/>
  <c r="Y29" i="1"/>
  <c r="X29" i="1"/>
  <c r="W29" i="1"/>
  <c r="T29" i="1"/>
  <c r="S29" i="1"/>
  <c r="R29" i="1"/>
  <c r="V29" i="1" s="1"/>
  <c r="P29" i="1"/>
  <c r="O29" i="1"/>
  <c r="N29" i="1"/>
  <c r="L29" i="1"/>
  <c r="K29" i="1"/>
  <c r="J29" i="1"/>
  <c r="M29" i="1" s="1"/>
  <c r="I29" i="1"/>
  <c r="H29" i="1"/>
  <c r="G29" i="1"/>
  <c r="F29" i="1"/>
  <c r="C29" i="1"/>
  <c r="Z28" i="1"/>
  <c r="Y28" i="1"/>
  <c r="X28" i="1"/>
  <c r="W28" i="1"/>
  <c r="T28" i="1"/>
  <c r="S28" i="1"/>
  <c r="R28" i="1"/>
  <c r="V28" i="1" s="1"/>
  <c r="P28" i="1"/>
  <c r="O28" i="1"/>
  <c r="N28" i="1"/>
  <c r="L28" i="1"/>
  <c r="K28" i="1"/>
  <c r="J28" i="1"/>
  <c r="M28" i="1" s="1"/>
  <c r="I28" i="1"/>
  <c r="H28" i="1"/>
  <c r="G28" i="1"/>
  <c r="F28" i="1"/>
  <c r="C28" i="1"/>
  <c r="Z27" i="1"/>
  <c r="Y27" i="1"/>
  <c r="X27" i="1"/>
  <c r="W27" i="1"/>
  <c r="T27" i="1"/>
  <c r="S27" i="1"/>
  <c r="R27" i="1"/>
  <c r="V27" i="1" s="1"/>
  <c r="P27" i="1"/>
  <c r="O27" i="1"/>
  <c r="N27" i="1"/>
  <c r="M27" i="1"/>
  <c r="L27" i="1"/>
  <c r="K27" i="1"/>
  <c r="J27" i="1"/>
  <c r="I27" i="1"/>
  <c r="H27" i="1"/>
  <c r="G27" i="1"/>
  <c r="F27" i="1"/>
  <c r="C27" i="1"/>
  <c r="Z26" i="1"/>
  <c r="Y26" i="1"/>
  <c r="X26" i="1"/>
  <c r="W26" i="1"/>
  <c r="T26" i="1"/>
  <c r="S26" i="1"/>
  <c r="R26" i="1"/>
  <c r="V26" i="1" s="1"/>
  <c r="P26" i="1"/>
  <c r="O26" i="1"/>
  <c r="N26" i="1"/>
  <c r="M26" i="1"/>
  <c r="L26" i="1"/>
  <c r="K26" i="1"/>
  <c r="J26" i="1"/>
  <c r="I26" i="1"/>
  <c r="H26" i="1"/>
  <c r="G26" i="1"/>
  <c r="F26" i="1"/>
  <c r="C26" i="1"/>
  <c r="Z25" i="1"/>
  <c r="Y25" i="1"/>
  <c r="X25" i="1"/>
  <c r="W25" i="1"/>
  <c r="T25" i="1"/>
  <c r="S25" i="1"/>
  <c r="R25" i="1"/>
  <c r="V25" i="1" s="1"/>
  <c r="P25" i="1"/>
  <c r="O25" i="1"/>
  <c r="N25" i="1"/>
  <c r="M25" i="1"/>
  <c r="L25" i="1"/>
  <c r="K25" i="1"/>
  <c r="J25" i="1"/>
  <c r="I25" i="1"/>
  <c r="H25" i="1"/>
  <c r="G25" i="1"/>
  <c r="F25" i="1"/>
  <c r="C25" i="1"/>
  <c r="Z24" i="1"/>
  <c r="Y24" i="1"/>
  <c r="X24" i="1"/>
  <c r="W24" i="1"/>
  <c r="T24" i="1"/>
  <c r="S24" i="1"/>
  <c r="R24" i="1"/>
  <c r="V24" i="1" s="1"/>
  <c r="P24" i="1"/>
  <c r="O24" i="1"/>
  <c r="N24" i="1"/>
  <c r="M24" i="1"/>
  <c r="L24" i="1"/>
  <c r="K24" i="1"/>
  <c r="J24" i="1"/>
  <c r="I24" i="1"/>
  <c r="H24" i="1"/>
  <c r="G24" i="1"/>
  <c r="F24" i="1"/>
  <c r="C24" i="1"/>
  <c r="Z22" i="1"/>
  <c r="Y22" i="1"/>
  <c r="X22" i="1"/>
  <c r="W22" i="1"/>
  <c r="T22" i="1"/>
  <c r="S22" i="1"/>
  <c r="R22" i="1"/>
  <c r="V22" i="1" s="1"/>
  <c r="P22" i="1"/>
  <c r="O22" i="1"/>
  <c r="N22" i="1"/>
  <c r="L22" i="1"/>
  <c r="K22" i="1"/>
  <c r="J22" i="1"/>
  <c r="M22" i="1" s="1"/>
  <c r="I22" i="1"/>
  <c r="H22" i="1"/>
  <c r="G22" i="1"/>
  <c r="F22" i="1"/>
  <c r="C22" i="1"/>
  <c r="Z21" i="1"/>
  <c r="Y21" i="1"/>
  <c r="X21" i="1"/>
  <c r="W21" i="1"/>
  <c r="T21" i="1"/>
  <c r="S21" i="1"/>
  <c r="R21" i="1"/>
  <c r="V21" i="1" s="1"/>
  <c r="P21" i="1"/>
  <c r="O21" i="1"/>
  <c r="N21" i="1"/>
  <c r="M21" i="1"/>
  <c r="L21" i="1"/>
  <c r="K21" i="1"/>
  <c r="J21" i="1"/>
  <c r="I21" i="1"/>
  <c r="H21" i="1"/>
  <c r="G21" i="1"/>
  <c r="F21" i="1"/>
  <c r="C21" i="1"/>
  <c r="Z20" i="1"/>
  <c r="Y20" i="1"/>
  <c r="X20" i="1"/>
  <c r="W20" i="1"/>
  <c r="T20" i="1"/>
  <c r="S20" i="1"/>
  <c r="R20" i="1"/>
  <c r="V20" i="1" s="1"/>
  <c r="P20" i="1"/>
  <c r="O20" i="1"/>
  <c r="N20" i="1"/>
  <c r="M20" i="1"/>
  <c r="L20" i="1"/>
  <c r="K20" i="1"/>
  <c r="J20" i="1"/>
  <c r="I20" i="1"/>
  <c r="H20" i="1"/>
  <c r="G20" i="1"/>
  <c r="F20" i="1"/>
  <c r="C20" i="1"/>
  <c r="Z19" i="1"/>
  <c r="Y19" i="1"/>
  <c r="X19" i="1"/>
  <c r="W19" i="1"/>
  <c r="T19" i="1"/>
  <c r="S19" i="1"/>
  <c r="R19" i="1"/>
  <c r="V19" i="1" s="1"/>
  <c r="P19" i="1"/>
  <c r="O19" i="1"/>
  <c r="N19" i="1"/>
  <c r="M19" i="1"/>
  <c r="L19" i="1"/>
  <c r="K19" i="1"/>
  <c r="J19" i="1"/>
  <c r="I19" i="1"/>
  <c r="H19" i="1"/>
  <c r="G19" i="1"/>
  <c r="F19" i="1"/>
  <c r="C19" i="1"/>
  <c r="Z18" i="1"/>
  <c r="Y18" i="1"/>
  <c r="X18" i="1"/>
  <c r="W18" i="1"/>
  <c r="T18" i="1"/>
  <c r="S18" i="1"/>
  <c r="R18" i="1"/>
  <c r="V18" i="1" s="1"/>
  <c r="P18" i="1"/>
  <c r="O18" i="1"/>
  <c r="N18" i="1"/>
  <c r="M18" i="1"/>
  <c r="L18" i="1"/>
  <c r="K18" i="1"/>
  <c r="J18" i="1"/>
  <c r="I18" i="1"/>
  <c r="H18" i="1"/>
  <c r="G18" i="1"/>
  <c r="F18" i="1"/>
  <c r="C18" i="1"/>
  <c r="Z17" i="1"/>
  <c r="Y17" i="1"/>
  <c r="X17" i="1"/>
  <c r="W17" i="1"/>
  <c r="T17" i="1"/>
  <c r="S17" i="1"/>
  <c r="R17" i="1"/>
  <c r="V17" i="1" s="1"/>
  <c r="P17" i="1"/>
  <c r="O17" i="1"/>
  <c r="N17" i="1"/>
  <c r="M17" i="1"/>
  <c r="L17" i="1"/>
  <c r="K17" i="1"/>
  <c r="J17" i="1"/>
  <c r="I17" i="1"/>
  <c r="H17" i="1"/>
  <c r="G17" i="1"/>
  <c r="F17" i="1"/>
  <c r="C17" i="1"/>
  <c r="Z16" i="1"/>
  <c r="Y16" i="1"/>
  <c r="X16" i="1"/>
  <c r="W16" i="1"/>
  <c r="T16" i="1"/>
  <c r="S16" i="1"/>
  <c r="R16" i="1"/>
  <c r="V16" i="1" s="1"/>
  <c r="P16" i="1"/>
  <c r="O16" i="1"/>
  <c r="N16" i="1"/>
  <c r="M16" i="1"/>
  <c r="L16" i="1"/>
  <c r="K16" i="1"/>
  <c r="J16" i="1"/>
  <c r="I16" i="1"/>
  <c r="H16" i="1"/>
  <c r="G16" i="1"/>
  <c r="F16" i="1"/>
  <c r="C16" i="1"/>
  <c r="Z15" i="1"/>
  <c r="Y15" i="1"/>
  <c r="X15" i="1"/>
  <c r="W15" i="1"/>
  <c r="T15" i="1"/>
  <c r="S15" i="1"/>
  <c r="R15" i="1"/>
  <c r="V15" i="1" s="1"/>
  <c r="P15" i="1"/>
  <c r="O15" i="1"/>
  <c r="N15" i="1"/>
  <c r="M15" i="1"/>
  <c r="L15" i="1"/>
  <c r="K15" i="1"/>
  <c r="J15" i="1"/>
  <c r="I15" i="1"/>
  <c r="H15" i="1"/>
  <c r="G15" i="1"/>
  <c r="F15" i="1"/>
  <c r="C15" i="1"/>
  <c r="Z14" i="1"/>
  <c r="Y14" i="1"/>
  <c r="X14" i="1"/>
  <c r="W14" i="1"/>
  <c r="T14" i="1"/>
  <c r="S14" i="1"/>
  <c r="R14" i="1"/>
  <c r="V14" i="1" s="1"/>
  <c r="P14" i="1"/>
  <c r="O14" i="1"/>
  <c r="N14" i="1"/>
  <c r="M14" i="1"/>
  <c r="L14" i="1"/>
  <c r="K14" i="1"/>
  <c r="J14" i="1"/>
  <c r="I14" i="1"/>
  <c r="H14" i="1"/>
  <c r="G14" i="1"/>
  <c r="F14" i="1"/>
  <c r="C14" i="1"/>
  <c r="Z13" i="1"/>
  <c r="Y13" i="1"/>
  <c r="X13" i="1"/>
  <c r="W13" i="1"/>
  <c r="T13" i="1"/>
  <c r="S13" i="1"/>
  <c r="R13" i="1"/>
  <c r="V13" i="1" s="1"/>
  <c r="P13" i="1"/>
  <c r="O13" i="1"/>
  <c r="N13" i="1"/>
  <c r="M13" i="1"/>
  <c r="L13" i="1"/>
  <c r="K13" i="1"/>
  <c r="J13" i="1"/>
  <c r="I13" i="1"/>
  <c r="H13" i="1"/>
  <c r="G13" i="1"/>
  <c r="F13" i="1"/>
  <c r="C13" i="1"/>
  <c r="Z12" i="1"/>
  <c r="Y12" i="1"/>
  <c r="X12" i="1"/>
  <c r="W12" i="1"/>
  <c r="T12" i="1"/>
  <c r="S12" i="1"/>
  <c r="R12" i="1"/>
  <c r="V12" i="1" s="1"/>
  <c r="P12" i="1"/>
  <c r="O12" i="1"/>
  <c r="N12" i="1"/>
  <c r="M12" i="1"/>
  <c r="L12" i="1"/>
  <c r="K12" i="1"/>
  <c r="J12" i="1"/>
  <c r="I12" i="1"/>
  <c r="H12" i="1"/>
  <c r="G12" i="1"/>
  <c r="F12" i="1"/>
  <c r="C12" i="1"/>
  <c r="Z8" i="1"/>
  <c r="A8" i="1"/>
  <c r="M93" i="1" l="1"/>
  <c r="M97" i="1"/>
  <c r="M102" i="1"/>
  <c r="M106" i="1"/>
  <c r="M111" i="1"/>
  <c r="M116" i="1"/>
  <c r="M120" i="1"/>
  <c r="M124" i="1"/>
  <c r="M129" i="1"/>
  <c r="M133" i="1"/>
  <c r="M137" i="1"/>
  <c r="M142" i="1"/>
  <c r="M147" i="1"/>
  <c r="M153" i="1"/>
  <c r="M157" i="1"/>
  <c r="M161" i="1"/>
  <c r="M165" i="1"/>
  <c r="M169" i="1"/>
  <c r="M174" i="1"/>
  <c r="M178" i="1"/>
  <c r="M183" i="1"/>
  <c r="M188" i="1"/>
  <c r="M192" i="1"/>
  <c r="M197" i="1"/>
  <c r="M92" i="1"/>
  <c r="M96" i="1"/>
  <c r="M91" i="1"/>
  <c r="M95" i="1"/>
  <c r="M100" i="1"/>
  <c r="M104" i="1"/>
  <c r="M108" i="1"/>
  <c r="M113" i="1"/>
  <c r="M118" i="1"/>
  <c r="M122" i="1"/>
  <c r="M127" i="1"/>
  <c r="M131" i="1"/>
  <c r="M135" i="1"/>
  <c r="M140" i="1"/>
  <c r="M145" i="1"/>
  <c r="M150" i="1"/>
  <c r="M155" i="1"/>
  <c r="M159" i="1"/>
  <c r="M163" i="1"/>
  <c r="M167" i="1"/>
  <c r="M171" i="1"/>
  <c r="M176" i="1"/>
  <c r="M181" i="1"/>
  <c r="M185" i="1"/>
  <c r="M190" i="1"/>
  <c r="M194" i="1"/>
  <c r="M199" i="1"/>
  <c r="X211" i="1"/>
  <c r="X62" i="2"/>
  <c r="X63" i="2"/>
  <c r="X64" i="2"/>
  <c r="X65" i="2"/>
  <c r="X66" i="2"/>
  <c r="X67" i="2"/>
  <c r="X210" i="1"/>
  <c r="Y211" i="1"/>
  <c r="Y62" i="2"/>
  <c r="Y63" i="2"/>
  <c r="Y64" i="2"/>
  <c r="Y65" i="2"/>
  <c r="Y66" i="2"/>
  <c r="Y67" i="2"/>
  <c r="X209" i="1"/>
  <c r="Y210" i="1"/>
  <c r="Z211" i="1"/>
  <c r="X213" i="1"/>
  <c r="Z62" i="2"/>
  <c r="Z63" i="2"/>
  <c r="Z64" i="2"/>
  <c r="Z65" i="2"/>
  <c r="Z66" i="2"/>
  <c r="Z67" i="2"/>
  <c r="M63" i="3"/>
  <c r="V225" i="3"/>
  <c r="M216" i="3"/>
  <c r="W222" i="3"/>
  <c r="X225" i="3"/>
  <c r="X226" i="3"/>
  <c r="M220" i="3"/>
  <c r="T225" i="3"/>
  <c r="T226" i="3"/>
  <c r="V227" i="3"/>
  <c r="X132" i="4"/>
  <c r="X136" i="4"/>
  <c r="T64" i="5"/>
  <c r="T68" i="5"/>
  <c r="Y132" i="4"/>
  <c r="Z133" i="4"/>
  <c r="X135" i="4"/>
  <c r="Y136" i="4"/>
  <c r="Z137" i="4"/>
  <c r="T63" i="5"/>
  <c r="U64" i="5"/>
  <c r="T67" i="5"/>
  <c r="U68" i="5"/>
  <c r="Z132" i="4"/>
  <c r="W133" i="4"/>
  <c r="Z136" i="4"/>
  <c r="W137" i="4"/>
  <c r="U63" i="5"/>
  <c r="V64" i="5"/>
  <c r="S65" i="5"/>
  <c r="U67" i="5"/>
  <c r="V68" i="5"/>
  <c r="T21" i="6"/>
  <c r="T22" i="6"/>
  <c r="T23" i="6"/>
  <c r="T24" i="6"/>
  <c r="T25" i="6"/>
  <c r="T26" i="6"/>
  <c r="I212" i="1" l="1"/>
  <c r="I208" i="1"/>
  <c r="I213" i="1"/>
  <c r="I209" i="1"/>
  <c r="I210" i="1"/>
  <c r="I211" i="1"/>
  <c r="H136" i="4"/>
  <c r="M136" i="4" s="1"/>
  <c r="H132" i="4"/>
  <c r="M132" i="4" s="1"/>
  <c r="H137" i="4"/>
  <c r="M137" i="4" s="1"/>
  <c r="H133" i="4"/>
  <c r="M133" i="4" s="1"/>
  <c r="H110" i="4"/>
  <c r="M110" i="4" s="1"/>
  <c r="H134" i="4"/>
  <c r="M134" i="4" s="1"/>
  <c r="H135" i="4"/>
  <c r="M135" i="4" s="1"/>
  <c r="H112" i="4"/>
  <c r="M112" i="4" s="1"/>
</calcChain>
</file>

<file path=xl/sharedStrings.xml><?xml version="1.0" encoding="utf-8"?>
<sst xmlns="http://schemas.openxmlformats.org/spreadsheetml/2006/main" count="1479" uniqueCount="685">
  <si>
    <t>IRESS Watchlist: /ETF</t>
  </si>
  <si>
    <t>Activity</t>
  </si>
  <si>
    <t>Prices</t>
  </si>
  <si>
    <t>Returns</t>
  </si>
  <si>
    <t>ASX 
Code</t>
  </si>
  <si>
    <t>Type</t>
  </si>
  <si>
    <t>Fund Name</t>
  </si>
  <si>
    <t xml:space="preserve">  MER (% p.a)</t>
  </si>
  <si>
    <t>FUM ($m)#</t>
  </si>
  <si>
    <t>FUM ($m) Change</t>
  </si>
  <si>
    <t>Funds Inflow / Outflow ($m) ***</t>
  </si>
  <si>
    <t>Transacted Value ($)</t>
  </si>
  <si>
    <t>Transacted Volume</t>
  </si>
  <si>
    <t>Number
 of Trades</t>
  </si>
  <si>
    <t>Monthly Liquidity %</t>
  </si>
  <si>
    <t>% Spread*</t>
  </si>
  <si>
    <t>Bid Depth  
(A$'000s)**</t>
  </si>
  <si>
    <t>Ask Depth  
(A$'000s)**</t>
  </si>
  <si>
    <t>Last</t>
  </si>
  <si>
    <t>Year High</t>
  </si>
  <si>
    <t>Year Low</t>
  </si>
  <si>
    <t>Historical Distribution Yield</t>
  </si>
  <si>
    <t>1 Month Total Return</t>
  </si>
  <si>
    <t>1 Year Total Return</t>
  </si>
  <si>
    <t>3 Year Total Return (ann.)</t>
  </si>
  <si>
    <t>5 Year Total Return (ann.)</t>
  </si>
  <si>
    <t>Equity - Australia</t>
  </si>
  <si>
    <t>A200</t>
  </si>
  <si>
    <t>ETF</t>
  </si>
  <si>
    <t>IOZ</t>
  </si>
  <si>
    <t>ILC</t>
  </si>
  <si>
    <t>MVW</t>
  </si>
  <si>
    <t>QOZ</t>
  </si>
  <si>
    <t>STW</t>
  </si>
  <si>
    <t>SFY</t>
  </si>
  <si>
    <t>UBA</t>
  </si>
  <si>
    <t>VAS</t>
  </si>
  <si>
    <t>VLC</t>
  </si>
  <si>
    <t>ZOZI</t>
  </si>
  <si>
    <t>Equity - Australia Small/Mid Cap</t>
  </si>
  <si>
    <t>EX20</t>
  </si>
  <si>
    <t>ISO</t>
  </si>
  <si>
    <t>KSM</t>
  </si>
  <si>
    <t>MF</t>
  </si>
  <si>
    <t>MVE</t>
  </si>
  <si>
    <t>MVS</t>
  </si>
  <si>
    <t>SSO</t>
  </si>
  <si>
    <t>VSO</t>
  </si>
  <si>
    <t>Equity - Australia Sectors</t>
  </si>
  <si>
    <t>MVB</t>
  </si>
  <si>
    <t>MVR</t>
  </si>
  <si>
    <t>OZF</t>
  </si>
  <si>
    <t>OZR</t>
  </si>
  <si>
    <t>QFN</t>
  </si>
  <si>
    <t>QRE</t>
  </si>
  <si>
    <t>Equity - Australia Strategy</t>
  </si>
  <si>
    <t>AOD</t>
  </si>
  <si>
    <t>AUMF</t>
  </si>
  <si>
    <t>AUST</t>
  </si>
  <si>
    <t>BBOZ</t>
  </si>
  <si>
    <t>BEAR</t>
  </si>
  <si>
    <t>DIV</t>
  </si>
  <si>
    <t>EIGA</t>
  </si>
  <si>
    <t>EINC</t>
  </si>
  <si>
    <t>FAIR</t>
  </si>
  <si>
    <t>FDIV</t>
  </si>
  <si>
    <t>GEAR</t>
  </si>
  <si>
    <t>HVST</t>
  </si>
  <si>
    <t>IHD</t>
  </si>
  <si>
    <t>INIF</t>
  </si>
  <si>
    <t>MVOL</t>
  </si>
  <si>
    <t>RARI</t>
  </si>
  <si>
    <t>RDV</t>
  </si>
  <si>
    <t>SMLL</t>
  </si>
  <si>
    <t>SWTZ</t>
  </si>
  <si>
    <t>SYI</t>
  </si>
  <si>
    <t>VHY</t>
  </si>
  <si>
    <t>YMAX</t>
  </si>
  <si>
    <t>ZYAU</t>
  </si>
  <si>
    <t>Equity - Global</t>
  </si>
  <si>
    <t>ESGI</t>
  </si>
  <si>
    <t>ESTX</t>
  </si>
  <si>
    <t>HEUR</t>
  </si>
  <si>
    <t>IEU</t>
  </si>
  <si>
    <t>IHOO</t>
  </si>
  <si>
    <t>IHVV</t>
  </si>
  <si>
    <t>IHWL</t>
  </si>
  <si>
    <t>IJH</t>
  </si>
  <si>
    <t>IJP</t>
  </si>
  <si>
    <t>IJR</t>
  </si>
  <si>
    <t>IOO</t>
  </si>
  <si>
    <t>IVE</t>
  </si>
  <si>
    <t>IVV</t>
  </si>
  <si>
    <t>IWLD</t>
  </si>
  <si>
    <t>KII</t>
  </si>
  <si>
    <t>MGE</t>
  </si>
  <si>
    <t>MHG</t>
  </si>
  <si>
    <t>MOAT</t>
  </si>
  <si>
    <t>MOGL</t>
  </si>
  <si>
    <t>NDQ</t>
  </si>
  <si>
    <t>PIXX</t>
  </si>
  <si>
    <t>QUS</t>
  </si>
  <si>
    <t>SPY</t>
  </si>
  <si>
    <t>UBE</t>
  </si>
  <si>
    <t>UBJ</t>
  </si>
  <si>
    <t>UBU</t>
  </si>
  <si>
    <t>UBW</t>
  </si>
  <si>
    <t>VEU</t>
  </si>
  <si>
    <t>VEQ</t>
  </si>
  <si>
    <t>VGAD</t>
  </si>
  <si>
    <t>VGS</t>
  </si>
  <si>
    <t>VTS</t>
  </si>
  <si>
    <t>WRLD</t>
  </si>
  <si>
    <t>WXHG</t>
  </si>
  <si>
    <t>WXOZ</t>
  </si>
  <si>
    <t>Equity - Asia</t>
  </si>
  <si>
    <t>CETF</t>
  </si>
  <si>
    <t>HJPN</t>
  </si>
  <si>
    <t>IAA</t>
  </si>
  <si>
    <t>IKO</t>
  </si>
  <si>
    <t>ITW</t>
  </si>
  <si>
    <t>IZZ</t>
  </si>
  <si>
    <t>PAXX</t>
  </si>
  <si>
    <t>UBP</t>
  </si>
  <si>
    <t>VAE</t>
  </si>
  <si>
    <t>Equity - Emerging Markets</t>
  </si>
  <si>
    <t>EMKT</t>
  </si>
  <si>
    <t>IEM</t>
  </si>
  <si>
    <t>VGE</t>
  </si>
  <si>
    <t>WEMG</t>
  </si>
  <si>
    <t>Equity - Global Sectors</t>
  </si>
  <si>
    <t>BNKS</t>
  </si>
  <si>
    <t>DRUG</t>
  </si>
  <si>
    <t>FOOD</t>
  </si>
  <si>
    <t>FUEL</t>
  </si>
  <si>
    <t>GDX</t>
  </si>
  <si>
    <t>HACK</t>
  </si>
  <si>
    <t>IXI</t>
  </si>
  <si>
    <t>IXJ</t>
  </si>
  <si>
    <t>MNRS</t>
  </si>
  <si>
    <t>ROBO</t>
  </si>
  <si>
    <t>TECH</t>
  </si>
  <si>
    <t>Equity - Global Strategy</t>
  </si>
  <si>
    <t>BBUS</t>
  </si>
  <si>
    <t>ETHI</t>
  </si>
  <si>
    <t>GGUS</t>
  </si>
  <si>
    <t>QMIX</t>
  </si>
  <si>
    <t>QUAL</t>
  </si>
  <si>
    <t>UMAX</t>
  </si>
  <si>
    <t>VMIN</t>
  </si>
  <si>
    <t>VVLU</t>
  </si>
  <si>
    <t>WDIV</t>
  </si>
  <si>
    <t>WDMF</t>
  </si>
  <si>
    <t>WVOL</t>
  </si>
  <si>
    <t>ZYUS</t>
  </si>
  <si>
    <t>Equity - Infrastructure</t>
  </si>
  <si>
    <t>CORE</t>
  </si>
  <si>
    <t>GLIN</t>
  </si>
  <si>
    <t>IFRA</t>
  </si>
  <si>
    <t>MICH</t>
  </si>
  <si>
    <t>Property - Australia</t>
  </si>
  <si>
    <t>MVA</t>
  </si>
  <si>
    <t>RINC</t>
  </si>
  <si>
    <t>SLF</t>
  </si>
  <si>
    <t>VAP</t>
  </si>
  <si>
    <t>Property - Global</t>
  </si>
  <si>
    <t>DJRE</t>
  </si>
  <si>
    <t>RENT</t>
  </si>
  <si>
    <t>Fixed Income - Australia Dollar</t>
  </si>
  <si>
    <t>AAA</t>
  </si>
  <si>
    <t>BILL</t>
  </si>
  <si>
    <t>BOND</t>
  </si>
  <si>
    <t>CRED</t>
  </si>
  <si>
    <t>FLOT</t>
  </si>
  <si>
    <t>GOVT</t>
  </si>
  <si>
    <t>HBRD</t>
  </si>
  <si>
    <t>IAF</t>
  </si>
  <si>
    <t>ILB</t>
  </si>
  <si>
    <t>IGB</t>
  </si>
  <si>
    <t>ISEC</t>
  </si>
  <si>
    <t>MONY</t>
  </si>
  <si>
    <t>PLUS</t>
  </si>
  <si>
    <t>QPON</t>
  </si>
  <si>
    <t>RGB</t>
  </si>
  <si>
    <t>RSM</t>
  </si>
  <si>
    <t>RCB</t>
  </si>
  <si>
    <t>VACF</t>
  </si>
  <si>
    <t>VAF</t>
  </si>
  <si>
    <t>VGB</t>
  </si>
  <si>
    <t>Fixed Income - Global</t>
  </si>
  <si>
    <t>IHCB</t>
  </si>
  <si>
    <t>IHHY</t>
  </si>
  <si>
    <t>IHEB</t>
  </si>
  <si>
    <t>VBND</t>
  </si>
  <si>
    <t>VCF</t>
  </si>
  <si>
    <t>VIF</t>
  </si>
  <si>
    <t>Mixed Asset</t>
  </si>
  <si>
    <t>DMKT</t>
  </si>
  <si>
    <t>GROW</t>
  </si>
  <si>
    <t>VDCO</t>
  </si>
  <si>
    <t>VDBA</t>
  </si>
  <si>
    <t>VDGR</t>
  </si>
  <si>
    <t>VDHG</t>
  </si>
  <si>
    <t>Currency</t>
  </si>
  <si>
    <t>AUDS</t>
  </si>
  <si>
    <t>EEU</t>
  </si>
  <si>
    <t>POU</t>
  </si>
  <si>
    <t>USD</t>
  </si>
  <si>
    <t>YANK</t>
  </si>
  <si>
    <t>ZCNH</t>
  </si>
  <si>
    <t>ZUSD</t>
  </si>
  <si>
    <t xml:space="preserve">Commodity </t>
  </si>
  <si>
    <t>ETPMPM</t>
  </si>
  <si>
    <t>SP</t>
  </si>
  <si>
    <t>ETPMPT</t>
  </si>
  <si>
    <t>ETPMAG</t>
  </si>
  <si>
    <t>ETPMPD</t>
  </si>
  <si>
    <t>GOLD</t>
  </si>
  <si>
    <t>Share</t>
  </si>
  <si>
    <t>OOO</t>
  </si>
  <si>
    <t>PMGOLD</t>
  </si>
  <si>
    <t>QAG</t>
  </si>
  <si>
    <t>QAU</t>
  </si>
  <si>
    <t>QCB</t>
  </si>
  <si>
    <t>ZGOL</t>
  </si>
  <si>
    <t>Australian Indices</t>
  </si>
  <si>
    <t>XJOAI</t>
  </si>
  <si>
    <t>Index</t>
  </si>
  <si>
    <t>XSOAI</t>
  </si>
  <si>
    <t>XPJAI</t>
  </si>
  <si>
    <t>XIFAI</t>
  </si>
  <si>
    <t>SPBDASXT</t>
  </si>
  <si>
    <t>SPBDAGVT</t>
  </si>
  <si>
    <t>Type: ETF = Exchange Transacted Fund, SP = Structured Product, MF = Managed Fund, Share = Redeemable Preference Share</t>
  </si>
  <si>
    <t>* Average % Spread = (offer-bid /midpoint as measured from 10.30am - 3.45pm)</t>
  </si>
  <si>
    <t>** Average Dollar value of bids/offers at the 5 best price levels.</t>
  </si>
  <si>
    <t>*** Funds Inflow / Outflow represent the number of units changed times the end of month closing price.</t>
  </si>
  <si>
    <t xml:space="preserve"># The FUM for each ETP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</si>
  <si>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</si>
  <si>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</si>
  <si>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/XTB</t>
  </si>
  <si>
    <t>Type*</t>
  </si>
  <si>
    <t>YTMAGL</t>
  </si>
  <si>
    <t>YTMANZ</t>
  </si>
  <si>
    <t>YTMAP1</t>
  </si>
  <si>
    <t>YTMAPA</t>
  </si>
  <si>
    <t>YTMAST</t>
  </si>
  <si>
    <t>YTMAWC</t>
  </si>
  <si>
    <t>YTMAZJ</t>
  </si>
  <si>
    <t>YTMBH1</t>
  </si>
  <si>
    <t>YTMCCA</t>
  </si>
  <si>
    <t>YTMCTX</t>
  </si>
  <si>
    <t>YTMDO1</t>
  </si>
  <si>
    <t>YTMDOW</t>
  </si>
  <si>
    <t>YTMDX1</t>
  </si>
  <si>
    <t>YTMDXS</t>
  </si>
  <si>
    <t>YTMF04</t>
  </si>
  <si>
    <t>YTMF05</t>
  </si>
  <si>
    <t>YTMF06</t>
  </si>
  <si>
    <t>YTMF07</t>
  </si>
  <si>
    <t>YTMF08</t>
  </si>
  <si>
    <t>YTMF09</t>
  </si>
  <si>
    <t>YTMF10</t>
  </si>
  <si>
    <t>YTMF11</t>
  </si>
  <si>
    <t>YTMGP1</t>
  </si>
  <si>
    <t>YTMGPT</t>
  </si>
  <si>
    <t>YTMIPL</t>
  </si>
  <si>
    <t>YTMLL1</t>
  </si>
  <si>
    <t>YTMLLC</t>
  </si>
  <si>
    <t>YTMMG2</t>
  </si>
  <si>
    <t>YTMMGR</t>
  </si>
  <si>
    <t>YTMMQG</t>
  </si>
  <si>
    <t>YTMNA1</t>
  </si>
  <si>
    <t>YTMNAB</t>
  </si>
  <si>
    <t>YTMNVN</t>
  </si>
  <si>
    <t>YTMQF1</t>
  </si>
  <si>
    <t>YTMQF2</t>
  </si>
  <si>
    <t>YTMQF3</t>
  </si>
  <si>
    <t>YTMSCG</t>
  </si>
  <si>
    <t>YTMSG1</t>
  </si>
  <si>
    <t>YTMSG2</t>
  </si>
  <si>
    <t>YTMSGP</t>
  </si>
  <si>
    <t>YTMSYD</t>
  </si>
  <si>
    <t>YTMTCL</t>
  </si>
  <si>
    <t>YTMTL1</t>
  </si>
  <si>
    <t>YTMTLS</t>
  </si>
  <si>
    <t>YTMWB1</t>
  </si>
  <si>
    <t>YTMWBC</t>
  </si>
  <si>
    <t>YTMWE1</t>
  </si>
  <si>
    <t>YTMWES</t>
  </si>
  <si>
    <t>YTMWOW</t>
  </si>
  <si>
    <t>IRESS Watchlist: /MFUND</t>
  </si>
  <si>
    <t>Transaction Value ($)</t>
  </si>
  <si>
    <t>Transaction Volume</t>
  </si>
  <si>
    <t>Number
 of Transactions</t>
  </si>
  <si>
    <t>Last Redemption</t>
  </si>
  <si>
    <t>3 Month Total Return</t>
  </si>
  <si>
    <t>ACA01</t>
  </si>
  <si>
    <t>mFund</t>
  </si>
  <si>
    <t>ACY01</t>
  </si>
  <si>
    <t>ACY02</t>
  </si>
  <si>
    <t>AET04</t>
  </si>
  <si>
    <t>AXW07</t>
  </si>
  <si>
    <t>AXW08</t>
  </si>
  <si>
    <t>AFZ19</t>
  </si>
  <si>
    <t>ALH01</t>
  </si>
  <si>
    <t>ALH02</t>
  </si>
  <si>
    <t>ALH03</t>
  </si>
  <si>
    <t>AQY01</t>
  </si>
  <si>
    <t>AXW01</t>
  </si>
  <si>
    <t>AXW04</t>
  </si>
  <si>
    <t>AXW05</t>
  </si>
  <si>
    <t>BAE01</t>
  </si>
  <si>
    <t>BAE02</t>
  </si>
  <si>
    <t>BAE03</t>
  </si>
  <si>
    <t>BAE04</t>
  </si>
  <si>
    <t>EQY01</t>
  </si>
  <si>
    <t>EQY02</t>
  </si>
  <si>
    <t>FIL08</t>
  </si>
  <si>
    <t>FIL21</t>
  </si>
  <si>
    <t>FIL26</t>
  </si>
  <si>
    <t>HYN01</t>
  </si>
  <si>
    <t>IAL11</t>
  </si>
  <si>
    <t>IWM03</t>
  </si>
  <si>
    <t>LMA01</t>
  </si>
  <si>
    <t>MLO02</t>
  </si>
  <si>
    <t>PLI01</t>
  </si>
  <si>
    <t>PLI02</t>
  </si>
  <si>
    <t>RPT02</t>
  </si>
  <si>
    <t>SCH21</t>
  </si>
  <si>
    <t>SCH22</t>
  </si>
  <si>
    <t>SHF01</t>
  </si>
  <si>
    <t>SHF02</t>
  </si>
  <si>
    <t>SHF07</t>
  </si>
  <si>
    <t>UAM03</t>
  </si>
  <si>
    <t>AET07</t>
  </si>
  <si>
    <t>AFZ20</t>
  </si>
  <si>
    <t>AVO01</t>
  </si>
  <si>
    <t>AXW02</t>
  </si>
  <si>
    <t>BAE05</t>
  </si>
  <si>
    <t>CFM02</t>
  </si>
  <si>
    <t>FEC01</t>
  </si>
  <si>
    <t>FEP01</t>
  </si>
  <si>
    <t>HYN02</t>
  </si>
  <si>
    <t>IAL12</t>
  </si>
  <si>
    <t>IWM07</t>
  </si>
  <si>
    <t>LMA03</t>
  </si>
  <si>
    <t>MOR01</t>
  </si>
  <si>
    <t>SHF04</t>
  </si>
  <si>
    <t>SPM01</t>
  </si>
  <si>
    <t>SPM02</t>
  </si>
  <si>
    <t>SPM03</t>
  </si>
  <si>
    <t>UAM01</t>
  </si>
  <si>
    <t>UAM02</t>
  </si>
  <si>
    <t>AET01</t>
  </si>
  <si>
    <t>AET03</t>
  </si>
  <si>
    <t>AET05</t>
  </si>
  <si>
    <t>AFZ04</t>
  </si>
  <si>
    <t>AFZ18</t>
  </si>
  <si>
    <t>AFZ30</t>
  </si>
  <si>
    <t>AGA01</t>
  </si>
  <si>
    <t>AGP01</t>
  </si>
  <si>
    <t>AGP02</t>
  </si>
  <si>
    <t>BLL01</t>
  </si>
  <si>
    <t>BLM01</t>
  </si>
  <si>
    <t>EAP01</t>
  </si>
  <si>
    <t>EAP03</t>
  </si>
  <si>
    <t>FIL07</t>
  </si>
  <si>
    <t>FIL14</t>
  </si>
  <si>
    <t>FIL23</t>
  </si>
  <si>
    <t>FIL52</t>
  </si>
  <si>
    <t>GSF01</t>
  </si>
  <si>
    <t>GSF02</t>
  </si>
  <si>
    <t>HYN03</t>
  </si>
  <si>
    <t>HYN04</t>
  </si>
  <si>
    <t>IAL02</t>
  </si>
  <si>
    <t>IAL08</t>
  </si>
  <si>
    <t>IBB01</t>
  </si>
  <si>
    <t>IBB04</t>
  </si>
  <si>
    <t>IBB05</t>
  </si>
  <si>
    <t>INS01</t>
  </si>
  <si>
    <t>INT01</t>
  </si>
  <si>
    <t>IWM06</t>
  </si>
  <si>
    <t>JPM05</t>
  </si>
  <si>
    <t>LKH01</t>
  </si>
  <si>
    <t>JPM06</t>
  </si>
  <si>
    <t>LOF01</t>
  </si>
  <si>
    <t>MUN01</t>
  </si>
  <si>
    <t>NWG01</t>
  </si>
  <si>
    <t>ORB01</t>
  </si>
  <si>
    <t>PLI03</t>
  </si>
  <si>
    <t>SCH31</t>
  </si>
  <si>
    <t>PLM01</t>
  </si>
  <si>
    <t>PMW01</t>
  </si>
  <si>
    <t>SCH45</t>
  </si>
  <si>
    <t>SPC01</t>
  </si>
  <si>
    <t>UAM13</t>
  </si>
  <si>
    <t>AFZ01</t>
  </si>
  <si>
    <t>DSC01</t>
  </si>
  <si>
    <t>FIL10</t>
  </si>
  <si>
    <t>FIL11</t>
  </si>
  <si>
    <t>FIL15</t>
  </si>
  <si>
    <t>NCE01</t>
  </si>
  <si>
    <t>SCH42</t>
  </si>
  <si>
    <t>AFZ03</t>
  </si>
  <si>
    <t>JPM07</t>
  </si>
  <si>
    <t>FIL31</t>
  </si>
  <si>
    <t>SCH41</t>
  </si>
  <si>
    <t>ACA03</t>
  </si>
  <si>
    <t>IWM02</t>
  </si>
  <si>
    <t>RAI01</t>
  </si>
  <si>
    <t>RAI02</t>
  </si>
  <si>
    <t>RAI03</t>
  </si>
  <si>
    <t>RAI04</t>
  </si>
  <si>
    <t>RPO01</t>
  </si>
  <si>
    <t>UAM12</t>
  </si>
  <si>
    <t>AFM01</t>
  </si>
  <si>
    <t>APF01</t>
  </si>
  <si>
    <t>CFM01</t>
  </si>
  <si>
    <t>LMA02</t>
  </si>
  <si>
    <t>SHF03</t>
  </si>
  <si>
    <t>UAM11</t>
  </si>
  <si>
    <t>ACA04</t>
  </si>
  <si>
    <t>APF02</t>
  </si>
  <si>
    <t>IAL41</t>
  </si>
  <si>
    <t>IBB03</t>
  </si>
  <si>
    <t>IWM04</t>
  </si>
  <si>
    <t>PRE01</t>
  </si>
  <si>
    <t>QGI01</t>
  </si>
  <si>
    <t>SHF05</t>
  </si>
  <si>
    <t>SHF06</t>
  </si>
  <si>
    <t>UAM10</t>
  </si>
  <si>
    <t>Fixed Income - Australian Dollar</t>
  </si>
  <si>
    <t>AET02</t>
  </si>
  <si>
    <t>AET06</t>
  </si>
  <si>
    <t>ACA02</t>
  </si>
  <si>
    <t>AFZ21</t>
  </si>
  <si>
    <t>AFZ25</t>
  </si>
  <si>
    <t>ANT01</t>
  </si>
  <si>
    <t>IWM05</t>
  </si>
  <si>
    <t>JHI02</t>
  </si>
  <si>
    <t>LMA04</t>
  </si>
  <si>
    <t>MIM01</t>
  </si>
  <si>
    <t>PMF04</t>
  </si>
  <si>
    <t>PMF05</t>
  </si>
  <si>
    <t>PMF07</t>
  </si>
  <si>
    <t>RLM01</t>
  </si>
  <si>
    <t>RLM02</t>
  </si>
  <si>
    <t>SCH55</t>
  </si>
  <si>
    <t>SMF01</t>
  </si>
  <si>
    <t>SMF02</t>
  </si>
  <si>
    <t>UAM04</t>
  </si>
  <si>
    <t>AFZ29</t>
  </si>
  <si>
    <t>BAM03</t>
  </si>
  <si>
    <t>BAM04</t>
  </si>
  <si>
    <t>BAM05</t>
  </si>
  <si>
    <t>IAL05</t>
  </si>
  <si>
    <t>IWM01</t>
  </si>
  <si>
    <t>JPM01</t>
  </si>
  <si>
    <t>JPM02</t>
  </si>
  <si>
    <t>JPM03</t>
  </si>
  <si>
    <t>KAP01</t>
  </si>
  <si>
    <t>LMA07</t>
  </si>
  <si>
    <t>SCH51</t>
  </si>
  <si>
    <t>SPE01</t>
  </si>
  <si>
    <t>PMF01</t>
  </si>
  <si>
    <t>PMF02</t>
  </si>
  <si>
    <t>PMF03</t>
  </si>
  <si>
    <t>PMF06</t>
  </si>
  <si>
    <t>PMF08</t>
  </si>
  <si>
    <t>PMF09</t>
  </si>
  <si>
    <t>UAM05</t>
  </si>
  <si>
    <t>UAM06</t>
  </si>
  <si>
    <t>ACA05</t>
  </si>
  <si>
    <t>ACC01</t>
  </si>
  <si>
    <t>AET08</t>
  </si>
  <si>
    <t>AFZ16</t>
  </si>
  <si>
    <t>AFZ32</t>
  </si>
  <si>
    <t>AQY02</t>
  </si>
  <si>
    <t>AQY03</t>
  </si>
  <si>
    <t>IAL18</t>
  </si>
  <si>
    <t>IBB09</t>
  </si>
  <si>
    <t>IBB10</t>
  </si>
  <si>
    <t>IBB11</t>
  </si>
  <si>
    <t>IBB12</t>
  </si>
  <si>
    <t>IBB13</t>
  </si>
  <si>
    <t>JPM09</t>
  </si>
  <si>
    <t>JPM10</t>
  </si>
  <si>
    <t>LMA05</t>
  </si>
  <si>
    <t>LMA06</t>
  </si>
  <si>
    <t>MLC01</t>
  </si>
  <si>
    <t>MLC02</t>
  </si>
  <si>
    <t>MLC03</t>
  </si>
  <si>
    <t>SCH11</t>
  </si>
  <si>
    <t>SCH12</t>
  </si>
  <si>
    <t>UAM07</t>
  </si>
  <si>
    <t>UAM08</t>
  </si>
  <si>
    <t>UAM09</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</si>
  <si>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</si>
  <si>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</si>
  <si>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</si>
  <si>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</si>
  <si>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</si>
  <si>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</si>
  <si>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 Spread</t>
  </si>
  <si>
    <t>Prem/Disc % NTA (pre-tax)</t>
  </si>
  <si>
    <t>NTA Date</t>
  </si>
  <si>
    <t>AFI</t>
  </si>
  <si>
    <t>Shares</t>
  </si>
  <si>
    <t>CLF</t>
  </si>
  <si>
    <t>AMH</t>
  </si>
  <si>
    <t>AQF</t>
  </si>
  <si>
    <t>ARG</t>
  </si>
  <si>
    <t>AUI</t>
  </si>
  <si>
    <t>BKI</t>
  </si>
  <si>
    <t>BSN</t>
  </si>
  <si>
    <t>CAM</t>
  </si>
  <si>
    <t>CBC</t>
  </si>
  <si>
    <t>CDM</t>
  </si>
  <si>
    <t>CIE</t>
  </si>
  <si>
    <t>CIN</t>
  </si>
  <si>
    <t>CVF</t>
  </si>
  <si>
    <t>CYA</t>
  </si>
  <si>
    <t>DJW</t>
  </si>
  <si>
    <t>DUI</t>
  </si>
  <si>
    <t>EFF</t>
  </si>
  <si>
    <t>FGX</t>
  </si>
  <si>
    <t>n/a</t>
  </si>
  <si>
    <t>FOR</t>
  </si>
  <si>
    <t>Units</t>
  </si>
  <si>
    <t>FSI</t>
  </si>
  <si>
    <t>IBC</t>
  </si>
  <si>
    <t>MA1</t>
  </si>
  <si>
    <t>MIR</t>
  </si>
  <si>
    <t>MLT</t>
  </si>
  <si>
    <t>MVT</t>
  </si>
  <si>
    <t>NGE</t>
  </si>
  <si>
    <t>OEQ</t>
  </si>
  <si>
    <t>PIC</t>
  </si>
  <si>
    <t>WAM</t>
  </si>
  <si>
    <t>WHF</t>
  </si>
  <si>
    <t>WIC</t>
  </si>
  <si>
    <t>WLE</t>
  </si>
  <si>
    <t>8EC</t>
  </si>
  <si>
    <t>ACQ</t>
  </si>
  <si>
    <t>BEL</t>
  </si>
  <si>
    <t>BST</t>
  </si>
  <si>
    <t>BTI</t>
  </si>
  <si>
    <t>CMI</t>
  </si>
  <si>
    <t>GC1</t>
  </si>
  <si>
    <t>NAC</t>
  </si>
  <si>
    <t>NCC</t>
  </si>
  <si>
    <t>NSC</t>
  </si>
  <si>
    <t>OZG</t>
  </si>
  <si>
    <t>QVE</t>
  </si>
  <si>
    <t>RYD</t>
  </si>
  <si>
    <t>SEC</t>
  </si>
  <si>
    <t>SNC</t>
  </si>
  <si>
    <t>WAX</t>
  </si>
  <si>
    <t>WMI</t>
  </si>
  <si>
    <t>ABW</t>
  </si>
  <si>
    <t>AEG</t>
  </si>
  <si>
    <t>ALF</t>
  </si>
  <si>
    <t>AUP</t>
  </si>
  <si>
    <t>AYF</t>
  </si>
  <si>
    <t>BAF</t>
  </si>
  <si>
    <t>D2O</t>
  </si>
  <si>
    <t>HHY</t>
  </si>
  <si>
    <t>HML</t>
  </si>
  <si>
    <t>IPE</t>
  </si>
  <si>
    <t>KAT</t>
  </si>
  <si>
    <t>MAX</t>
  </si>
  <si>
    <t>PL8</t>
  </si>
  <si>
    <t>TOP</t>
  </si>
  <si>
    <t>URB</t>
  </si>
  <si>
    <t>WAA</t>
  </si>
  <si>
    <t>WDE</t>
  </si>
  <si>
    <t>WMK</t>
  </si>
  <si>
    <t>AIB</t>
  </si>
  <si>
    <t>APL</t>
  </si>
  <si>
    <t>EGD</t>
  </si>
  <si>
    <t>EGI</t>
  </si>
  <si>
    <t>FGG</t>
  </si>
  <si>
    <t>FPC</t>
  </si>
  <si>
    <t>GFL</t>
  </si>
  <si>
    <t>GVF</t>
  </si>
  <si>
    <t>PIA</t>
  </si>
  <si>
    <t>LRT</t>
  </si>
  <si>
    <t>LSX</t>
  </si>
  <si>
    <t>MFF</t>
  </si>
  <si>
    <t>MGG</t>
  </si>
  <si>
    <t>PGF</t>
  </si>
  <si>
    <t>PMC</t>
  </si>
  <si>
    <t>SVS</t>
  </si>
  <si>
    <t>TGG</t>
  </si>
  <si>
    <t>VG1</t>
  </si>
  <si>
    <t>WGB</t>
  </si>
  <si>
    <t>WGF</t>
  </si>
  <si>
    <t>ZER</t>
  </si>
  <si>
    <t>8IH</t>
  </si>
  <si>
    <t>EAF</t>
  </si>
  <si>
    <t>Trust</t>
  </si>
  <si>
    <t>EAI</t>
  </si>
  <si>
    <t>PAF</t>
  </si>
  <si>
    <t>PAI</t>
  </si>
  <si>
    <t>EMF</t>
  </si>
  <si>
    <t>AIQ</t>
  </si>
  <si>
    <t>BHD</t>
  </si>
  <si>
    <t>CD1</t>
  </si>
  <si>
    <t>CD2</t>
  </si>
  <si>
    <t>CD3</t>
  </si>
  <si>
    <t>LSF</t>
  </si>
  <si>
    <t>MEC</t>
  </si>
  <si>
    <t>TEK</t>
  </si>
  <si>
    <t>WQG</t>
  </si>
  <si>
    <t>ALI</t>
  </si>
  <si>
    <t>FPP</t>
  </si>
  <si>
    <t>AYZ</t>
  </si>
  <si>
    <t>AYK</t>
  </si>
  <si>
    <t>GCI</t>
  </si>
  <si>
    <t>MXT</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</si>
  <si>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</si>
  <si>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</si>
  <si>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</si>
  <si>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ABP</t>
  </si>
  <si>
    <t>Stapled</t>
  </si>
  <si>
    <t>AGJ</t>
  </si>
  <si>
    <t>AJD</t>
  </si>
  <si>
    <t>AOF</t>
  </si>
  <si>
    <t>APW</t>
  </si>
  <si>
    <t>APZ</t>
  </si>
  <si>
    <t>ARF</t>
  </si>
  <si>
    <t>AVN</t>
  </si>
  <si>
    <t>BWF</t>
  </si>
  <si>
    <t>BWP</t>
  </si>
  <si>
    <t>BWR</t>
  </si>
  <si>
    <t>CDP</t>
  </si>
  <si>
    <t>CHC</t>
  </si>
  <si>
    <t>CIP</t>
  </si>
  <si>
    <t>CLW</t>
  </si>
  <si>
    <t>CMA</t>
  </si>
  <si>
    <t>CMW</t>
  </si>
  <si>
    <t>CRR</t>
  </si>
  <si>
    <t>CQR</t>
  </si>
  <si>
    <t>DXS</t>
  </si>
  <si>
    <t>ERF</t>
  </si>
  <si>
    <t>FET</t>
  </si>
  <si>
    <t>GDF</t>
  </si>
  <si>
    <t>GDI</t>
  </si>
  <si>
    <t>GMG</t>
  </si>
  <si>
    <t>GOZ</t>
  </si>
  <si>
    <t>GPT</t>
  </si>
  <si>
    <t>HPI</t>
  </si>
  <si>
    <t>IDR</t>
  </si>
  <si>
    <t>INA</t>
  </si>
  <si>
    <t>IOF</t>
  </si>
  <si>
    <t>LEP</t>
  </si>
  <si>
    <t>LTN</t>
  </si>
  <si>
    <t>MGR</t>
  </si>
  <si>
    <t>NSR</t>
  </si>
  <si>
    <t>RFF</t>
  </si>
  <si>
    <t>RNY</t>
  </si>
  <si>
    <t>PLG</t>
  </si>
  <si>
    <t>SCG</t>
  </si>
  <si>
    <t>SCP</t>
  </si>
  <si>
    <t>SGP</t>
  </si>
  <si>
    <t>TGP</t>
  </si>
  <si>
    <t>TOT</t>
  </si>
  <si>
    <t>VCX</t>
  </si>
  <si>
    <t>VVR</t>
  </si>
  <si>
    <t>ATT</t>
  </si>
  <si>
    <t>URF</t>
  </si>
  <si>
    <t>URW</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</si>
  <si>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</si>
  <si>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</si>
  <si>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</si>
  <si>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Prem/Disc % NTA</t>
  </si>
  <si>
    <t>APA</t>
  </si>
  <si>
    <t>AST</t>
  </si>
  <si>
    <t>IFN</t>
  </si>
  <si>
    <t>ALX</t>
  </si>
  <si>
    <t>SKI</t>
  </si>
  <si>
    <t>SYD</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</si>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</sst>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_(* #,##0.00_);_(* \(#,##0.00\);_(* &quot;-&quot;??_);_(@_)"/>
    <numFmt numFmtId="166" formatCode="mmm\-yyyy"/>
    <numFmt numFmtId="167" formatCode="_-* #,##0_-;\-* #,##0_-;_-* &quot;-&quot;??_-;_-@_-"/>
    <numFmt numFmtId="168" formatCode="#,##0.000"/>
    <numFmt numFmtId="169" formatCode="_(&quot;$&quot;* #,##0.00_);_(&quot;$&quot;* \(#,##0.00\);_(&quot;$&quot;* &quot;-&quot;??_);_(@_)"/>
    <numFmt numFmtId="170" formatCode="mmmm\-yyyy"/>
    <numFmt numFmtId="171" formatCode="0.000%"/>
    <numFmt numFmtId="172" formatCode="0.000"/>
    <numFmt numFmtId="173" formatCode="_-* #,##0.0000_-;\-* #,##0.0000_-;_-* &quot;-&quot;??_-;_-@_-"/>
  </numFmts>
  <fonts count="32">
    <font>
      <sz val="11"/>
      <name val="ClassGarmnd BT"/>
    </font>
    <font>
      <sz val="11"/>
      <color theme="4"/>
      <name val="Calibri"/>
      <family val="2"/>
      <scheme val="minor"/>
    </font>
    <font>
      <sz val="11"/>
      <name val="ClassGarmnd BT"/>
      <family val="1"/>
    </font>
    <font>
      <b/>
      <sz val="18"/>
      <color theme="4"/>
      <name val="Calibri"/>
      <family val="2"/>
      <scheme val="minor"/>
    </font>
    <font>
      <b/>
      <sz val="10"/>
      <color rgb="FF0C3B6C"/>
      <name val="Calibri"/>
      <family val="2"/>
    </font>
    <font>
      <sz val="10"/>
      <name val="Calibri"/>
      <family val="2"/>
      <scheme val="minor"/>
    </font>
    <font>
      <b/>
      <sz val="10"/>
      <color theme="4"/>
      <name val="Calibri"/>
      <family val="2"/>
      <scheme val="minor"/>
    </font>
    <font>
      <b/>
      <sz val="12"/>
      <color theme="4"/>
      <name val="Calibri"/>
      <family val="2"/>
      <scheme val="minor"/>
    </font>
    <font>
      <sz val="12"/>
      <color theme="4"/>
      <name val="Calibri"/>
      <family val="2"/>
      <scheme val="minor"/>
    </font>
    <font>
      <b/>
      <sz val="8"/>
      <color theme="4"/>
      <name val="Calibri"/>
      <family val="2"/>
      <scheme val="minor"/>
    </font>
    <font>
      <sz val="8"/>
      <color theme="4"/>
      <name val="Calibri"/>
      <family val="2"/>
      <scheme val="minor"/>
    </font>
    <font>
      <sz val="10"/>
      <color theme="4"/>
      <name val="Calibri"/>
      <family val="2"/>
      <scheme val="minor"/>
    </font>
    <font>
      <sz val="7.5"/>
      <color theme="4"/>
      <name val="Calibri"/>
      <family val="2"/>
      <scheme val="minor"/>
    </font>
    <font>
      <sz val="7"/>
      <color theme="4"/>
      <name val="Calibri"/>
      <family val="2"/>
      <scheme val="minor"/>
    </font>
    <font>
      <b/>
      <sz val="9"/>
      <color theme="4"/>
      <name val="Calibri"/>
      <family val="2"/>
      <scheme val="minor"/>
    </font>
    <font>
      <b/>
      <sz val="14"/>
      <color theme="4"/>
      <name val="Calibri"/>
      <family val="2"/>
      <scheme val="minor"/>
    </font>
    <font>
      <sz val="14"/>
      <color theme="4"/>
      <name val="Calibri"/>
      <family val="2"/>
      <scheme val="minor"/>
    </font>
    <font>
      <sz val="9"/>
      <color theme="4"/>
      <name val="Calibri"/>
      <family val="2"/>
      <scheme val="minor"/>
    </font>
    <font>
      <b/>
      <sz val="20"/>
      <color theme="4"/>
      <name val="Calibri"/>
      <family val="2"/>
      <scheme val="minor"/>
    </font>
    <font>
      <b/>
      <sz val="7"/>
      <color theme="4"/>
      <name val="Calibri"/>
      <family val="2"/>
      <scheme val="minor"/>
    </font>
    <font>
      <b/>
      <sz val="11"/>
      <color theme="4"/>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11"/>
      <name val="Calibri"/>
      <family val="2"/>
      <scheme val="minor"/>
    </font>
    <font>
      <b/>
      <sz val="18"/>
      <color theme="0"/>
      <name val="Calibri"/>
      <family val="2"/>
      <scheme val="minor"/>
    </font>
    <font>
      <sz val="6"/>
      <color theme="4"/>
      <name val="Calibri"/>
      <family val="2"/>
      <scheme val="minor"/>
    </font>
    <font>
      <sz val="9"/>
      <name val="Calibri"/>
      <family val="2"/>
      <scheme val="minor"/>
    </font>
    <font>
      <sz val="8"/>
      <name val="Calibri"/>
      <family val="2"/>
      <scheme val="minor"/>
    </font>
    <font>
      <b/>
      <sz val="11"/>
      <name val="Calibri"/>
      <family val="2"/>
      <scheme val="minor"/>
    </font>
  </fonts>
  <fills count="16">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DBF1DB"/>
        <bgColor indexed="64"/>
      </patternFill>
    </fill>
    <fill>
      <patternFill patternType="solid">
        <fgColor theme="0" tint="-4.9989318521683403E-2"/>
        <bgColor indexed="64"/>
      </patternFill>
    </fill>
    <fill>
      <patternFill patternType="solid">
        <fgColor rgb="FFBECCD4"/>
        <bgColor indexed="64"/>
      </patternFill>
    </fill>
    <fill>
      <patternFill patternType="solid">
        <fgColor rgb="FFE0E8F0"/>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s>
  <borders count="2">
    <border>
      <left/>
      <right/>
      <top/>
      <bottom/>
      <diagonal/>
    </border>
    <border>
      <left/>
      <right/>
      <top style="thin">
        <color theme="0" tint="-0.24994659260841701"/>
      </top>
      <bottom style="thin">
        <color theme="0" tint="-0.24994659260841701"/>
      </bottom>
      <diagonal/>
    </border>
  </borders>
  <cellStyleXfs count="4">
    <xf numFmtId="0" fontId="0" fillId="0" borderId="0" applyNumberForma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cellStyleXfs>
  <cellXfs count="276">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right"/>
    </xf>
    <xf numFmtId="164" fontId="1" fillId="2" borderId="0" xfId="3" applyNumberFormat="1" applyFont="1" applyFill="1" applyAlignment="1">
      <alignment horizontal="right"/>
    </xf>
    <xf numFmtId="0" fontId="1" fillId="3" borderId="0" xfId="0" applyFont="1" applyFill="1"/>
    <xf numFmtId="0" fontId="3" fillId="2" borderId="0" xfId="0" applyFont="1" applyFill="1" applyAlignment="1">
      <alignment vertical="top" wrapText="1"/>
    </xf>
    <xf numFmtId="0" fontId="1" fillId="0" borderId="0" xfId="0" applyFont="1"/>
    <xf numFmtId="0" fontId="4" fillId="0" borderId="0" xfId="0" applyFont="1" applyAlignment="1">
      <alignment horizontal="left" vertical="center"/>
    </xf>
    <xf numFmtId="0" fontId="5" fillId="0" borderId="0" xfId="0" applyFont="1" applyAlignment="1">
      <alignment horizontal="right" vertical="center"/>
    </xf>
    <xf numFmtId="0" fontId="6" fillId="3" borderId="0" xfId="0" applyFont="1" applyFill="1" applyAlignment="1">
      <alignment horizontal="righ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9" fillId="0" borderId="0" xfId="0" applyFont="1" applyFill="1" applyBorder="1" applyAlignment="1">
      <alignment horizontal="left" vertical="top" wrapText="1"/>
    </xf>
    <xf numFmtId="3" fontId="9" fillId="0" borderId="0" xfId="0" applyNumberFormat="1" applyFont="1" applyFill="1" applyBorder="1" applyAlignment="1">
      <alignment vertical="top" wrapText="1"/>
    </xf>
    <xf numFmtId="0" fontId="1" fillId="0" borderId="0" xfId="0" applyFont="1" applyFill="1" applyAlignment="1">
      <alignment vertical="top" wrapText="1"/>
    </xf>
    <xf numFmtId="0" fontId="9" fillId="0" borderId="0" xfId="0" applyFont="1" applyFill="1" applyBorder="1" applyAlignment="1">
      <alignment horizontal="right" vertical="top" wrapText="1"/>
    </xf>
    <xf numFmtId="3" fontId="9" fillId="0" borderId="0" xfId="0"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6" fillId="2" borderId="0" xfId="0" applyFont="1" applyFill="1" applyAlignment="1">
      <alignment horizontal="left" vertical="center"/>
    </xf>
    <xf numFmtId="165" fontId="8" fillId="2" borderId="1" xfId="1" applyFont="1" applyFill="1" applyBorder="1" applyAlignment="1">
      <alignment horizontal="left" vertical="center"/>
    </xf>
    <xf numFmtId="0" fontId="10" fillId="0" borderId="1" xfId="0" applyFont="1" applyFill="1" applyBorder="1" applyAlignment="1"/>
    <xf numFmtId="0" fontId="10" fillId="4" borderId="1" xfId="0" applyFont="1" applyFill="1" applyBorder="1" applyAlignment="1"/>
    <xf numFmtId="166" fontId="10" fillId="0" borderId="1" xfId="0" applyNumberFormat="1" applyFont="1" applyFill="1" applyBorder="1" applyAlignment="1"/>
    <xf numFmtId="0" fontId="10" fillId="0" borderId="1" xfId="0" applyFont="1" applyBorder="1" applyAlignment="1">
      <alignment horizontal="left"/>
    </xf>
    <xf numFmtId="2" fontId="10" fillId="4" borderId="1" xfId="0" applyNumberFormat="1" applyFont="1" applyFill="1" applyBorder="1" applyAlignment="1">
      <alignment horizontal="right"/>
    </xf>
    <xf numFmtId="2" fontId="10" fillId="0" borderId="1" xfId="0" applyNumberFormat="1" applyFont="1" applyFill="1" applyBorder="1" applyAlignment="1">
      <alignment horizontal="right"/>
    </xf>
    <xf numFmtId="167" fontId="10" fillId="4" borderId="1" xfId="1" applyNumberFormat="1" applyFont="1" applyFill="1" applyBorder="1" applyAlignment="1">
      <alignment horizontal="right"/>
    </xf>
    <xf numFmtId="167" fontId="10" fillId="0" borderId="1" xfId="1" applyNumberFormat="1" applyFont="1" applyFill="1" applyBorder="1" applyAlignment="1">
      <alignment horizontal="right"/>
    </xf>
    <xf numFmtId="10" fontId="10" fillId="0" borderId="1" xfId="3" applyNumberFormat="1" applyFont="1" applyFill="1" applyBorder="1" applyAlignment="1">
      <alignment horizontal="right"/>
    </xf>
    <xf numFmtId="10" fontId="10" fillId="4" borderId="1" xfId="3" applyNumberFormat="1" applyFont="1" applyFill="1" applyBorder="1" applyAlignment="1">
      <alignment horizontal="right"/>
    </xf>
    <xf numFmtId="167" fontId="10" fillId="4" borderId="1" xfId="1" applyNumberFormat="1" applyFont="1" applyFill="1" applyBorder="1" applyAlignment="1">
      <alignment horizontal="right" vertical="center"/>
    </xf>
    <xf numFmtId="165" fontId="10" fillId="0" borderId="1" xfId="1" applyNumberFormat="1" applyFont="1" applyFill="1" applyBorder="1" applyAlignment="1">
      <alignment horizontal="right" vertical="center"/>
    </xf>
    <xf numFmtId="165" fontId="10" fillId="4" borderId="1" xfId="1" applyNumberFormat="1" applyFont="1" applyFill="1" applyBorder="1" applyAlignment="1">
      <alignment horizontal="right" vertical="center"/>
    </xf>
    <xf numFmtId="10" fontId="10" fillId="4" borderId="1" xfId="3" applyNumberFormat="1" applyFont="1" applyFill="1" applyBorder="1" applyAlignment="1">
      <alignment horizontal="right" vertical="center"/>
    </xf>
    <xf numFmtId="10" fontId="10" fillId="0" borderId="1" xfId="3" applyNumberFormat="1" applyFont="1" applyFill="1" applyBorder="1" applyAlignment="1">
      <alignment horizontal="right" vertical="center"/>
    </xf>
    <xf numFmtId="0" fontId="1" fillId="2" borderId="0" xfId="0" applyFont="1" applyFill="1" applyAlignment="1"/>
    <xf numFmtId="0" fontId="6" fillId="2" borderId="1" xfId="0" applyFont="1" applyFill="1" applyBorder="1" applyAlignment="1"/>
    <xf numFmtId="0" fontId="1" fillId="2" borderId="1" xfId="0" applyFont="1" applyFill="1" applyBorder="1" applyAlignment="1"/>
    <xf numFmtId="167" fontId="10" fillId="2" borderId="1" xfId="1" applyNumberFormat="1" applyFont="1" applyFill="1" applyBorder="1" applyAlignment="1">
      <alignment horizontal="right"/>
    </xf>
    <xf numFmtId="10" fontId="10" fillId="2" borderId="1" xfId="3" applyNumberFormat="1" applyFont="1" applyFill="1" applyBorder="1" applyAlignment="1">
      <alignment horizontal="right"/>
    </xf>
    <xf numFmtId="167" fontId="10" fillId="2" borderId="1" xfId="1" applyNumberFormat="1" applyFont="1" applyFill="1" applyBorder="1" applyAlignment="1">
      <alignment horizontal="right" vertical="center"/>
    </xf>
    <xf numFmtId="165" fontId="10" fillId="2" borderId="1" xfId="1" applyNumberFormat="1" applyFont="1" applyFill="1" applyBorder="1" applyAlignment="1">
      <alignment horizontal="right" vertical="center"/>
    </xf>
    <xf numFmtId="164" fontId="10" fillId="2" borderId="1" xfId="3" applyNumberFormat="1" applyFont="1" applyFill="1" applyBorder="1" applyAlignment="1">
      <alignment horizontal="right" wrapText="1"/>
    </xf>
    <xf numFmtId="0" fontId="1" fillId="2" borderId="1" xfId="0" applyFont="1" applyFill="1" applyBorder="1" applyAlignment="1">
      <alignment horizontal="right" wrapText="1"/>
    </xf>
    <xf numFmtId="0" fontId="1" fillId="0" borderId="0" xfId="0" applyFont="1" applyAlignment="1"/>
    <xf numFmtId="166" fontId="10" fillId="0" borderId="1" xfId="0" applyNumberFormat="1" applyFont="1" applyFill="1" applyBorder="1" applyAlignment="1">
      <alignment horizontal="left"/>
    </xf>
    <xf numFmtId="0" fontId="11" fillId="0" borderId="0" xfId="0" applyFont="1" applyAlignment="1">
      <alignment horizontal="right" vertical="center"/>
    </xf>
    <xf numFmtId="165" fontId="1" fillId="4" borderId="1" xfId="1" applyNumberFormat="1" applyFont="1" applyFill="1" applyBorder="1" applyAlignment="1">
      <alignment horizontal="right" vertical="center"/>
    </xf>
    <xf numFmtId="2" fontId="10" fillId="0" borderId="1" xfId="0" applyNumberFormat="1" applyFont="1" applyFill="1" applyBorder="1" applyAlignment="1">
      <alignment horizontal="left"/>
    </xf>
    <xf numFmtId="2" fontId="10" fillId="4" borderId="1" xfId="0" applyNumberFormat="1" applyFont="1" applyFill="1" applyBorder="1" applyAlignment="1">
      <alignment horizontal="left"/>
    </xf>
    <xf numFmtId="166" fontId="12" fillId="0" borderId="1" xfId="0" applyNumberFormat="1" applyFont="1" applyFill="1" applyBorder="1" applyAlignment="1"/>
    <xf numFmtId="166" fontId="12" fillId="0" borderId="1" xfId="0" applyNumberFormat="1" applyFont="1" applyFill="1" applyBorder="1" applyAlignment="1">
      <alignment horizontal="left"/>
    </xf>
    <xf numFmtId="0" fontId="11" fillId="2" borderId="1" xfId="0" applyFont="1" applyFill="1" applyBorder="1" applyAlignment="1"/>
    <xf numFmtId="2" fontId="10" fillId="2" borderId="1" xfId="0" applyNumberFormat="1" applyFont="1" applyFill="1" applyBorder="1" applyAlignment="1">
      <alignment horizontal="right"/>
    </xf>
    <xf numFmtId="10" fontId="10" fillId="5" borderId="1" xfId="3" applyNumberFormat="1" applyFont="1" applyFill="1" applyBorder="1" applyAlignment="1">
      <alignment horizontal="right" vertical="center"/>
    </xf>
    <xf numFmtId="0" fontId="10" fillId="0" borderId="0" xfId="0" applyFont="1" applyFill="1" applyBorder="1" applyAlignment="1"/>
    <xf numFmtId="166" fontId="10" fillId="0" borderId="0" xfId="0" applyNumberFormat="1" applyFont="1" applyFill="1" applyBorder="1" applyAlignment="1">
      <alignment horizontal="left"/>
    </xf>
    <xf numFmtId="0" fontId="13" fillId="0" borderId="0" xfId="0" applyFont="1" applyBorder="1" applyAlignment="1">
      <alignment horizontal="left"/>
    </xf>
    <xf numFmtId="2" fontId="10" fillId="0" borderId="0" xfId="0" applyNumberFormat="1" applyFont="1" applyFill="1" applyBorder="1" applyAlignment="1">
      <alignment horizontal="right"/>
    </xf>
    <xf numFmtId="167" fontId="10" fillId="0" borderId="0" xfId="1" applyNumberFormat="1" applyFont="1" applyFill="1" applyBorder="1" applyAlignment="1">
      <alignment horizontal="right"/>
    </xf>
    <xf numFmtId="10" fontId="10" fillId="0" borderId="0" xfId="3" applyNumberFormat="1" applyFont="1" applyFill="1" applyBorder="1" applyAlignment="1">
      <alignment horizontal="right"/>
    </xf>
    <xf numFmtId="164" fontId="10" fillId="0" borderId="0" xfId="3" applyNumberFormat="1" applyFont="1" applyFill="1" applyBorder="1" applyAlignment="1">
      <alignment horizontal="right"/>
    </xf>
    <xf numFmtId="0" fontId="10" fillId="0" borderId="0" xfId="0" applyFont="1"/>
    <xf numFmtId="0" fontId="1" fillId="0" borderId="0" xfId="0" applyFont="1" applyAlignment="1">
      <alignment horizontal="right"/>
    </xf>
    <xf numFmtId="164" fontId="1" fillId="0" borderId="0" xfId="3" applyNumberFormat="1" applyFont="1" applyAlignment="1">
      <alignment horizontal="right"/>
    </xf>
    <xf numFmtId="0" fontId="10" fillId="0" borderId="0" xfId="0" applyFont="1" applyBorder="1"/>
    <xf numFmtId="166" fontId="13" fillId="0" borderId="0" xfId="0" applyNumberFormat="1" applyFont="1" applyFill="1" applyBorder="1" applyAlignment="1">
      <alignment horizontal="right"/>
    </xf>
    <xf numFmtId="0" fontId="1" fillId="0" borderId="0" xfId="0" applyFont="1" applyAlignment="1">
      <alignment horizontal="center"/>
    </xf>
    <xf numFmtId="0" fontId="10" fillId="0" borderId="0" xfId="0" applyFont="1" applyFill="1" applyBorder="1" applyAlignment="1">
      <alignment horizontal="left"/>
    </xf>
    <xf numFmtId="0" fontId="10" fillId="0" borderId="0" xfId="0" applyFont="1" applyFill="1" applyBorder="1" applyAlignment="1">
      <alignment horizontal="right"/>
    </xf>
    <xf numFmtId="168" fontId="13" fillId="0" borderId="0" xfId="0" applyNumberFormat="1" applyFont="1" applyFill="1" applyBorder="1" applyAlignment="1">
      <alignment horizontal="center"/>
    </xf>
    <xf numFmtId="167" fontId="13" fillId="0" borderId="0" xfId="1" applyNumberFormat="1" applyFont="1" applyFill="1" applyBorder="1" applyAlignment="1">
      <alignment horizontal="right"/>
    </xf>
    <xf numFmtId="10" fontId="13" fillId="0" borderId="0" xfId="3" applyNumberFormat="1" applyFont="1" applyFill="1" applyBorder="1" applyAlignment="1">
      <alignment horizontal="right"/>
    </xf>
    <xf numFmtId="164" fontId="13" fillId="0" borderId="0" xfId="3" applyNumberFormat="1" applyFont="1" applyFill="1" applyBorder="1" applyAlignment="1">
      <alignment horizontal="right"/>
    </xf>
    <xf numFmtId="0" fontId="10" fillId="2" borderId="0" xfId="0" applyFont="1" applyFill="1" applyBorder="1" applyAlignment="1">
      <alignment horizontal="left" vertical="center" wrapText="1"/>
    </xf>
    <xf numFmtId="0" fontId="14" fillId="0" borderId="0" xfId="0" applyFont="1" applyBorder="1"/>
    <xf numFmtId="0" fontId="13" fillId="0" borderId="0" xfId="0" applyFont="1" applyFill="1" applyBorder="1" applyAlignment="1"/>
    <xf numFmtId="166" fontId="13" fillId="0" borderId="0" xfId="0" applyNumberFormat="1" applyFont="1" applyFill="1" applyBorder="1" applyAlignment="1"/>
    <xf numFmtId="0" fontId="1" fillId="0" borderId="0" xfId="0" applyFont="1" applyFill="1" applyBorder="1" applyAlignment="1"/>
    <xf numFmtId="2" fontId="13" fillId="0" borderId="0" xfId="0" applyNumberFormat="1" applyFont="1" applyFill="1" applyBorder="1" applyAlignment="1">
      <alignment horizontal="right"/>
    </xf>
    <xf numFmtId="169" fontId="1" fillId="0" borderId="0" xfId="2" applyNumberFormat="1" applyFont="1" applyAlignment="1">
      <alignment horizontal="right"/>
    </xf>
    <xf numFmtId="0" fontId="10" fillId="0" borderId="0" xfId="0" applyFont="1" applyBorder="1" applyAlignment="1">
      <alignment horizontal="left" vertical="top"/>
    </xf>
    <xf numFmtId="167" fontId="13" fillId="0" borderId="0" xfId="1" applyNumberFormat="1" applyFont="1" applyFill="1" applyBorder="1" applyAlignment="1">
      <alignment horizontal="right" wrapText="1"/>
    </xf>
    <xf numFmtId="164" fontId="13" fillId="0" borderId="0" xfId="3" applyNumberFormat="1" applyFont="1" applyFill="1" applyBorder="1" applyAlignment="1">
      <alignment horizontal="right" wrapText="1"/>
    </xf>
    <xf numFmtId="0" fontId="1" fillId="0" borderId="0" xfId="0" applyFont="1" applyFill="1" applyBorder="1" applyAlignment="1">
      <alignment horizontal="left"/>
    </xf>
    <xf numFmtId="167" fontId="1" fillId="0" borderId="0" xfId="0" applyNumberFormat="1" applyFont="1" applyAlignment="1">
      <alignment horizontal="right"/>
    </xf>
    <xf numFmtId="0" fontId="8" fillId="0" borderId="0" xfId="0" applyFont="1" applyFill="1" applyBorder="1" applyAlignment="1">
      <alignment horizontal="left" vertical="center"/>
    </xf>
    <xf numFmtId="166" fontId="10" fillId="0" borderId="0" xfId="0" applyNumberFormat="1" applyFont="1" applyFill="1" applyBorder="1" applyAlignment="1">
      <alignment horizontal="right"/>
    </xf>
    <xf numFmtId="0" fontId="10" fillId="0" borderId="0" xfId="0" applyFont="1" applyBorder="1" applyAlignment="1">
      <alignment horizontal="center"/>
    </xf>
    <xf numFmtId="0" fontId="10" fillId="0" borderId="0" xfId="0" applyFont="1" applyBorder="1" applyAlignment="1">
      <alignment horizontal="right"/>
    </xf>
    <xf numFmtId="0" fontId="1" fillId="0" borderId="0" xfId="0" applyFont="1" applyBorder="1"/>
    <xf numFmtId="0" fontId="1" fillId="0" borderId="0" xfId="0" applyFont="1" applyBorder="1" applyAlignment="1">
      <alignment horizontal="right"/>
    </xf>
    <xf numFmtId="164" fontId="1" fillId="0" borderId="0" xfId="3" applyNumberFormat="1" applyFont="1" applyBorder="1" applyAlignment="1">
      <alignment horizontal="right"/>
    </xf>
    <xf numFmtId="0" fontId="1" fillId="0" borderId="0" xfId="0" applyFont="1" applyBorder="1" applyAlignment="1">
      <alignment horizontal="center"/>
    </xf>
    <xf numFmtId="0" fontId="15" fillId="2" borderId="0" xfId="0" applyFont="1" applyFill="1" applyAlignment="1"/>
    <xf numFmtId="0" fontId="16" fillId="2" borderId="0" xfId="0" applyFont="1" applyFill="1" applyAlignment="1"/>
    <xf numFmtId="3" fontId="9" fillId="0" borderId="0" xfId="0" applyNumberFormat="1" applyFont="1" applyFill="1" applyBorder="1" applyAlignment="1">
      <alignment horizontal="left" vertical="top" wrapText="1"/>
    </xf>
    <xf numFmtId="0" fontId="1" fillId="0" borderId="0" xfId="0" applyFont="1" applyFill="1" applyAlignment="1">
      <alignment horizontal="left" vertical="top" wrapText="1"/>
    </xf>
    <xf numFmtId="165" fontId="10" fillId="2" borderId="1" xfId="1" applyFont="1" applyFill="1" applyBorder="1" applyAlignment="1">
      <alignment horizontal="right" wrapText="1"/>
    </xf>
    <xf numFmtId="0" fontId="1" fillId="2" borderId="1" xfId="0" applyFont="1" applyFill="1" applyBorder="1" applyAlignment="1">
      <alignment horizontal="right"/>
    </xf>
    <xf numFmtId="166" fontId="10" fillId="0" borderId="1" xfId="0" applyNumberFormat="1" applyFont="1" applyFill="1" applyBorder="1" applyAlignment="1">
      <alignment horizontal="left"/>
    </xf>
    <xf numFmtId="0" fontId="10" fillId="0" borderId="1" xfId="0" applyFont="1" applyBorder="1" applyAlignment="1">
      <alignment horizontal="left"/>
    </xf>
    <xf numFmtId="0" fontId="17" fillId="2" borderId="1" xfId="0" applyFont="1" applyFill="1" applyBorder="1" applyAlignment="1"/>
    <xf numFmtId="169" fontId="10" fillId="0" borderId="1" xfId="2" applyFont="1" applyFill="1" applyBorder="1" applyAlignment="1">
      <alignment horizontal="right"/>
    </xf>
    <xf numFmtId="164" fontId="10" fillId="4" borderId="1" xfId="3" applyNumberFormat="1" applyFont="1" applyFill="1" applyBorder="1" applyAlignment="1">
      <alignment horizontal="right"/>
    </xf>
    <xf numFmtId="0" fontId="10" fillId="0" borderId="0" xfId="0" applyFont="1"/>
    <xf numFmtId="0" fontId="10" fillId="0" borderId="0" xfId="0" applyFont="1" applyBorder="1" applyAlignment="1">
      <alignment horizontal="left" vertical="top"/>
    </xf>
    <xf numFmtId="0" fontId="1" fillId="6" borderId="0" xfId="0" applyFont="1" applyFill="1"/>
    <xf numFmtId="0" fontId="1" fillId="6" borderId="0" xfId="0" applyFont="1" applyFill="1" applyAlignment="1">
      <alignment horizontal="center"/>
    </xf>
    <xf numFmtId="0" fontId="1" fillId="6" borderId="0" xfId="0" applyFont="1" applyFill="1" applyAlignment="1">
      <alignment horizontal="right"/>
    </xf>
    <xf numFmtId="164" fontId="1" fillId="6" borderId="0" xfId="3" applyNumberFormat="1" applyFont="1" applyFill="1" applyAlignment="1">
      <alignment horizontal="right"/>
    </xf>
    <xf numFmtId="0" fontId="18" fillId="6" borderId="0" xfId="0" applyFont="1" applyFill="1" applyAlignment="1">
      <alignment vertical="center"/>
    </xf>
    <xf numFmtId="0" fontId="3" fillId="6" borderId="0" xfId="0" applyFont="1" applyFill="1" applyAlignment="1">
      <alignment vertical="top" wrapText="1"/>
    </xf>
    <xf numFmtId="170" fontId="18" fillId="6" borderId="0" xfId="0" applyNumberFormat="1" applyFont="1" applyFill="1" applyAlignment="1"/>
    <xf numFmtId="0" fontId="4" fillId="0" borderId="0" xfId="0" applyFont="1" applyAlignment="1">
      <alignment horizontal="left" vertical="top"/>
    </xf>
    <xf numFmtId="0" fontId="5" fillId="0" borderId="0" xfId="0" applyFont="1" applyAlignment="1">
      <alignment horizontal="right" vertical="top"/>
    </xf>
    <xf numFmtId="0" fontId="16" fillId="0" borderId="0" xfId="0" applyFont="1" applyFill="1" applyAlignment="1">
      <alignment vertical="top"/>
    </xf>
    <xf numFmtId="0" fontId="6" fillId="3" borderId="0" xfId="0" applyFont="1" applyFill="1" applyAlignment="1">
      <alignment horizontal="right" vertical="top"/>
    </xf>
    <xf numFmtId="0" fontId="7" fillId="6" borderId="0" xfId="0" applyFont="1" applyFill="1" applyAlignment="1">
      <alignment vertical="top"/>
    </xf>
    <xf numFmtId="0" fontId="1" fillId="6" borderId="0" xfId="0" applyFont="1" applyFill="1" applyAlignment="1">
      <alignment vertical="top"/>
    </xf>
    <xf numFmtId="0" fontId="15" fillId="6" borderId="0" xfId="0" applyFont="1" applyFill="1" applyAlignment="1">
      <alignment vertical="top"/>
    </xf>
    <xf numFmtId="0" fontId="16" fillId="6" borderId="0" xfId="0" applyFont="1" applyFill="1" applyAlignment="1">
      <alignment vertical="top"/>
    </xf>
    <xf numFmtId="0" fontId="6" fillId="6" borderId="1" xfId="0" applyFont="1" applyFill="1" applyBorder="1" applyAlignment="1">
      <alignment vertical="top"/>
    </xf>
    <xf numFmtId="0" fontId="1" fillId="6" borderId="1" xfId="0" applyFont="1" applyFill="1" applyBorder="1" applyAlignment="1">
      <alignment vertical="top"/>
    </xf>
    <xf numFmtId="165" fontId="10" fillId="6" borderId="1" xfId="1" applyFont="1" applyFill="1" applyBorder="1" applyAlignment="1">
      <alignment horizontal="right" vertical="top" wrapText="1"/>
    </xf>
    <xf numFmtId="0" fontId="1" fillId="6" borderId="1" xfId="0" applyFont="1" applyFill="1" applyBorder="1" applyAlignment="1">
      <alignment horizontal="right" vertical="top"/>
    </xf>
    <xf numFmtId="0" fontId="1" fillId="6" borderId="1" xfId="0" applyFont="1" applyFill="1" applyBorder="1" applyAlignment="1">
      <alignment horizontal="right" vertical="top" wrapText="1"/>
    </xf>
    <xf numFmtId="0" fontId="1" fillId="6" borderId="0" xfId="0" applyFont="1" applyFill="1" applyAlignment="1"/>
    <xf numFmtId="0" fontId="10" fillId="0" borderId="1" xfId="0" applyFont="1" applyFill="1" applyBorder="1" applyAlignment="1">
      <alignment vertical="top"/>
    </xf>
    <xf numFmtId="0" fontId="10" fillId="7" borderId="1" xfId="0" applyFont="1" applyFill="1" applyBorder="1" applyAlignment="1">
      <alignment vertical="top"/>
    </xf>
    <xf numFmtId="166" fontId="10" fillId="0" borderId="1" xfId="0" applyNumberFormat="1" applyFont="1" applyFill="1" applyBorder="1" applyAlignment="1">
      <alignment horizontal="left" vertical="top"/>
    </xf>
    <xf numFmtId="0" fontId="10" fillId="0" borderId="1" xfId="0" applyFont="1" applyBorder="1" applyAlignment="1">
      <alignment horizontal="left" vertical="top"/>
    </xf>
    <xf numFmtId="171" fontId="10" fillId="7" borderId="1" xfId="3" applyNumberFormat="1" applyFont="1" applyFill="1" applyBorder="1" applyAlignment="1">
      <alignment horizontal="right" vertical="top"/>
    </xf>
    <xf numFmtId="172" fontId="10" fillId="0" borderId="1" xfId="0" applyNumberFormat="1" applyFont="1" applyFill="1" applyBorder="1" applyAlignment="1">
      <alignment horizontal="right" vertical="top"/>
    </xf>
    <xf numFmtId="172" fontId="10" fillId="7" borderId="1" xfId="0" applyNumberFormat="1" applyFont="1" applyFill="1" applyBorder="1" applyAlignment="1">
      <alignment horizontal="right" vertical="top"/>
    </xf>
    <xf numFmtId="167" fontId="10" fillId="7" borderId="1" xfId="1" applyNumberFormat="1" applyFont="1" applyFill="1" applyBorder="1" applyAlignment="1">
      <alignment horizontal="right" vertical="top"/>
    </xf>
    <xf numFmtId="167" fontId="10" fillId="0" borderId="1" xfId="1" applyNumberFormat="1" applyFont="1" applyFill="1" applyBorder="1" applyAlignment="1">
      <alignment horizontal="right" vertical="top"/>
    </xf>
    <xf numFmtId="10" fontId="10" fillId="0" borderId="1" xfId="3" applyNumberFormat="1" applyFont="1" applyFill="1" applyBorder="1" applyAlignment="1">
      <alignment horizontal="right" vertical="top"/>
    </xf>
    <xf numFmtId="10" fontId="10" fillId="5" borderId="1" xfId="3" applyNumberFormat="1" applyFont="1" applyFill="1" applyBorder="1" applyAlignment="1">
      <alignment horizontal="right" vertical="top"/>
    </xf>
    <xf numFmtId="167" fontId="10" fillId="5" borderId="1" xfId="1" applyNumberFormat="1" applyFont="1" applyFill="1" applyBorder="1" applyAlignment="1">
      <alignment horizontal="right" vertical="top"/>
    </xf>
    <xf numFmtId="173" fontId="10" fillId="0" borderId="1" xfId="1" applyNumberFormat="1" applyFont="1" applyFill="1" applyBorder="1" applyAlignment="1">
      <alignment horizontal="right" vertical="top"/>
    </xf>
    <xf numFmtId="10" fontId="10" fillId="7" borderId="1" xfId="3" applyNumberFormat="1" applyFont="1" applyFill="1" applyBorder="1" applyAlignment="1">
      <alignment horizontal="right" vertical="top"/>
    </xf>
    <xf numFmtId="171" fontId="10" fillId="6" borderId="1" xfId="3" applyNumberFormat="1" applyFont="1" applyFill="1" applyBorder="1" applyAlignment="1">
      <alignment horizontal="right" vertical="top"/>
    </xf>
    <xf numFmtId="172" fontId="10" fillId="6" borderId="1" xfId="0" applyNumberFormat="1" applyFont="1" applyFill="1" applyBorder="1" applyAlignment="1">
      <alignment horizontal="right" vertical="top"/>
    </xf>
    <xf numFmtId="167" fontId="10" fillId="6" borderId="1" xfId="1" applyNumberFormat="1" applyFont="1" applyFill="1" applyBorder="1" applyAlignment="1">
      <alignment horizontal="right" vertical="top"/>
    </xf>
    <xf numFmtId="10" fontId="10" fillId="6" borderId="1" xfId="3" applyNumberFormat="1" applyFont="1" applyFill="1" applyBorder="1" applyAlignment="1">
      <alignment horizontal="right" vertical="top"/>
    </xf>
    <xf numFmtId="173" fontId="10" fillId="6" borderId="1" xfId="1" applyNumberFormat="1" applyFont="1" applyFill="1" applyBorder="1" applyAlignment="1">
      <alignment horizontal="right" vertical="top"/>
    </xf>
    <xf numFmtId="166" fontId="10" fillId="0" borderId="1" xfId="0" applyNumberFormat="1" applyFont="1" applyFill="1" applyBorder="1" applyAlignment="1">
      <alignment horizontal="left" vertical="top"/>
    </xf>
    <xf numFmtId="0" fontId="10" fillId="0" borderId="1" xfId="0" applyFont="1" applyBorder="1" applyAlignment="1">
      <alignment horizontal="left" vertical="top"/>
    </xf>
    <xf numFmtId="0" fontId="1" fillId="0" borderId="0" xfId="0" applyFont="1" applyFill="1" applyAlignment="1">
      <alignment vertical="top"/>
    </xf>
    <xf numFmtId="2" fontId="10" fillId="0" borderId="1" xfId="0" applyNumberFormat="1" applyFont="1" applyFill="1" applyBorder="1" applyAlignment="1">
      <alignment horizontal="left" vertical="top"/>
    </xf>
    <xf numFmtId="166" fontId="12" fillId="0" borderId="1" xfId="0" applyNumberFormat="1" applyFont="1" applyFill="1" applyBorder="1" applyAlignment="1">
      <alignment horizontal="left" vertical="top"/>
    </xf>
    <xf numFmtId="0" fontId="12" fillId="0" borderId="1" xfId="0" applyFont="1" applyBorder="1" applyAlignment="1">
      <alignment horizontal="left" vertical="top"/>
    </xf>
    <xf numFmtId="0" fontId="12" fillId="0" borderId="1" xfId="0" applyFont="1" applyBorder="1" applyAlignment="1">
      <alignment vertical="top"/>
    </xf>
    <xf numFmtId="0" fontId="11" fillId="6" borderId="1" xfId="0" applyFont="1" applyFill="1" applyBorder="1" applyAlignment="1">
      <alignment vertical="top"/>
    </xf>
    <xf numFmtId="165" fontId="10" fillId="0" borderId="1" xfId="1" applyNumberFormat="1" applyFont="1" applyFill="1" applyBorder="1" applyAlignment="1">
      <alignment horizontal="right" vertical="top"/>
    </xf>
    <xf numFmtId="0" fontId="10" fillId="0" borderId="0" xfId="0" applyFont="1" applyAlignment="1"/>
    <xf numFmtId="0" fontId="10" fillId="6" borderId="0" xfId="0" applyFont="1" applyFill="1" applyBorder="1" applyAlignment="1">
      <alignment horizontal="left" vertical="center" wrapText="1"/>
    </xf>
    <xf numFmtId="166" fontId="13" fillId="0" borderId="0" xfId="0" applyNumberFormat="1" applyFont="1" applyFill="1" applyBorder="1" applyAlignment="1">
      <alignment horizontal="left"/>
    </xf>
    <xf numFmtId="0" fontId="1" fillId="0" borderId="0" xfId="0" applyFont="1" applyFill="1" applyBorder="1" applyAlignment="1">
      <alignment horizontal="left"/>
    </xf>
    <xf numFmtId="0" fontId="19" fillId="0" borderId="0" xfId="0" applyFont="1" applyFill="1" applyBorder="1" applyAlignment="1"/>
    <xf numFmtId="168" fontId="13" fillId="0" borderId="0" xfId="0" applyNumberFormat="1" applyFont="1" applyFill="1" applyBorder="1" applyAlignment="1">
      <alignment horizontal="right"/>
    </xf>
    <xf numFmtId="165" fontId="13" fillId="0" borderId="0" xfId="1" applyFont="1" applyFill="1" applyBorder="1" applyAlignment="1">
      <alignment horizontal="right" wrapText="1"/>
    </xf>
    <xf numFmtId="165" fontId="13" fillId="0" borderId="0" xfId="1" applyFont="1" applyFill="1" applyBorder="1" applyAlignment="1">
      <alignment horizontal="right" wrapText="1" indent="1"/>
    </xf>
    <xf numFmtId="0" fontId="10" fillId="0" borderId="0" xfId="0" applyFont="1" applyFill="1" applyBorder="1" applyAlignment="1">
      <alignment vertical="center" wrapText="1"/>
    </xf>
    <xf numFmtId="0" fontId="10" fillId="0" borderId="0" xfId="0" applyFont="1" applyFill="1" applyAlignment="1"/>
    <xf numFmtId="0" fontId="1" fillId="8" borderId="0" xfId="0" applyFont="1" applyFill="1"/>
    <xf numFmtId="0" fontId="1" fillId="8" borderId="0" xfId="0" applyFont="1" applyFill="1" applyAlignment="1">
      <alignment horizontal="center"/>
    </xf>
    <xf numFmtId="0" fontId="3" fillId="8" borderId="0" xfId="0" applyFont="1" applyFill="1" applyAlignment="1">
      <alignment vertical="top" wrapText="1"/>
    </xf>
    <xf numFmtId="0" fontId="7" fillId="8" borderId="0" xfId="0" applyFont="1" applyFill="1" applyAlignment="1">
      <alignment vertical="top"/>
    </xf>
    <xf numFmtId="0" fontId="7" fillId="8" borderId="0" xfId="0" applyFont="1" applyFill="1" applyAlignment="1"/>
    <xf numFmtId="3" fontId="9" fillId="0" borderId="0" xfId="0" applyNumberFormat="1" applyFont="1" applyFill="1" applyBorder="1" applyAlignment="1">
      <alignment horizontal="right" vertical="top"/>
    </xf>
    <xf numFmtId="0" fontId="6" fillId="8" borderId="1" xfId="0" applyFont="1" applyFill="1" applyBorder="1" applyAlignment="1"/>
    <xf numFmtId="0" fontId="10" fillId="9" borderId="1" xfId="0" applyFont="1" applyFill="1" applyBorder="1" applyAlignment="1"/>
    <xf numFmtId="0" fontId="10" fillId="0" borderId="1" xfId="0" applyFont="1" applyBorder="1" applyAlignment="1"/>
    <xf numFmtId="2" fontId="10" fillId="9" borderId="1" xfId="0" applyNumberFormat="1" applyFont="1" applyFill="1" applyBorder="1" applyAlignment="1">
      <alignment horizontal="right"/>
    </xf>
    <xf numFmtId="167" fontId="10" fillId="9" borderId="1" xfId="1" applyNumberFormat="1" applyFont="1" applyFill="1" applyBorder="1" applyAlignment="1">
      <alignment horizontal="right"/>
    </xf>
    <xf numFmtId="164" fontId="10" fillId="9" borderId="1" xfId="3" applyNumberFormat="1" applyFont="1" applyFill="1" applyBorder="1" applyAlignment="1">
      <alignment horizontal="right"/>
    </xf>
    <xf numFmtId="14" fontId="10" fillId="0" borderId="1" xfId="3" applyNumberFormat="1" applyFont="1" applyFill="1" applyBorder="1" applyAlignment="1">
      <alignment horizontal="right"/>
    </xf>
    <xf numFmtId="165" fontId="10" fillId="9" borderId="1" xfId="1" applyNumberFormat="1" applyFont="1" applyFill="1" applyBorder="1" applyAlignment="1">
      <alignment horizontal="right" vertical="center"/>
    </xf>
    <xf numFmtId="10" fontId="10" fillId="9" borderId="1" xfId="3" applyNumberFormat="1" applyFont="1" applyFill="1" applyBorder="1" applyAlignment="1">
      <alignment horizontal="right" vertical="center"/>
    </xf>
    <xf numFmtId="0" fontId="1" fillId="8" borderId="1" xfId="0" applyFont="1" applyFill="1" applyBorder="1" applyAlignment="1"/>
    <xf numFmtId="2" fontId="10" fillId="8" borderId="1" xfId="0" applyNumberFormat="1" applyFont="1" applyFill="1" applyBorder="1" applyAlignment="1">
      <alignment horizontal="right"/>
    </xf>
    <xf numFmtId="167" fontId="10" fillId="8" borderId="1" xfId="1" applyNumberFormat="1" applyFont="1" applyFill="1" applyBorder="1" applyAlignment="1">
      <alignment horizontal="right"/>
    </xf>
    <xf numFmtId="10" fontId="10" fillId="8" borderId="1" xfId="3" applyNumberFormat="1" applyFont="1" applyFill="1" applyBorder="1" applyAlignment="1">
      <alignment horizontal="right"/>
    </xf>
    <xf numFmtId="169" fontId="10" fillId="8" borderId="1" xfId="2" applyFont="1" applyFill="1" applyBorder="1" applyAlignment="1">
      <alignment horizontal="right"/>
    </xf>
    <xf numFmtId="164" fontId="10" fillId="8" borderId="1" xfId="3" applyNumberFormat="1" applyFont="1" applyFill="1" applyBorder="1" applyAlignment="1">
      <alignment horizontal="right"/>
    </xf>
    <xf numFmtId="14" fontId="10" fillId="8" borderId="1" xfId="3" applyNumberFormat="1" applyFont="1" applyFill="1" applyBorder="1" applyAlignment="1">
      <alignment horizontal="right"/>
    </xf>
    <xf numFmtId="165" fontId="10" fillId="8" borderId="1" xfId="1" applyNumberFormat="1" applyFont="1" applyFill="1" applyBorder="1" applyAlignment="1">
      <alignment horizontal="right" vertical="center"/>
    </xf>
    <xf numFmtId="164" fontId="10" fillId="8" borderId="1" xfId="3" applyNumberFormat="1" applyFont="1" applyFill="1" applyBorder="1" applyAlignment="1">
      <alignment horizontal="right" wrapText="1"/>
    </xf>
    <xf numFmtId="0" fontId="1" fillId="8" borderId="1" xfId="0" applyFont="1" applyFill="1" applyBorder="1" applyAlignment="1">
      <alignment horizontal="right" wrapText="1"/>
    </xf>
    <xf numFmtId="165" fontId="1" fillId="0" borderId="1" xfId="1" applyNumberFormat="1" applyFont="1" applyFill="1" applyBorder="1" applyAlignment="1">
      <alignment horizontal="right" vertical="center"/>
    </xf>
    <xf numFmtId="0" fontId="10" fillId="0" borderId="0" xfId="0" applyFont="1" applyFill="1" applyBorder="1"/>
    <xf numFmtId="0" fontId="1" fillId="0" borderId="0" xfId="0" applyFont="1" applyFill="1"/>
    <xf numFmtId="0" fontId="10" fillId="10" borderId="0" xfId="0" applyFont="1" applyFill="1" applyAlignment="1">
      <alignment horizontal="left" vertical="center" wrapText="1"/>
    </xf>
    <xf numFmtId="0" fontId="1" fillId="3" borderId="0" xfId="0" applyFont="1" applyFill="1" applyBorder="1" applyAlignment="1">
      <alignment horizontal="center"/>
    </xf>
    <xf numFmtId="0" fontId="16" fillId="0" borderId="0" xfId="0" applyFont="1" applyFill="1" applyBorder="1" applyAlignment="1">
      <alignment horizontal="left" vertical="center"/>
    </xf>
    <xf numFmtId="0" fontId="1" fillId="3" borderId="0" xfId="0" applyFont="1" applyFill="1" applyAlignment="1">
      <alignment horizontal="center"/>
    </xf>
    <xf numFmtId="0" fontId="10" fillId="0" borderId="0" xfId="0" applyFont="1" applyAlignment="1">
      <alignment horizontal="center"/>
    </xf>
    <xf numFmtId="0" fontId="10" fillId="3" borderId="0" xfId="0" applyFont="1" applyFill="1" applyAlignment="1">
      <alignment horizontal="center"/>
    </xf>
    <xf numFmtId="0" fontId="10" fillId="3" borderId="0" xfId="0" applyFont="1" applyFill="1" applyBorder="1" applyAlignment="1">
      <alignment horizontal="center"/>
    </xf>
    <xf numFmtId="0" fontId="20" fillId="0" borderId="0" xfId="0" applyFont="1" applyBorder="1"/>
    <xf numFmtId="0" fontId="20" fillId="0" borderId="0" xfId="0" applyFont="1" applyBorder="1" applyAlignment="1">
      <alignment horizontal="center"/>
    </xf>
    <xf numFmtId="0" fontId="20" fillId="3" borderId="0" xfId="0" applyFont="1" applyFill="1" applyBorder="1" applyAlignment="1">
      <alignment horizontal="center"/>
    </xf>
    <xf numFmtId="0" fontId="1" fillId="11" borderId="0" xfId="0" applyFont="1" applyFill="1"/>
    <xf numFmtId="0" fontId="1" fillId="11" borderId="0" xfId="0" applyFont="1" applyFill="1" applyAlignment="1">
      <alignment horizontal="center"/>
    </xf>
    <xf numFmtId="0" fontId="3" fillId="11" borderId="0" xfId="0" applyFont="1" applyFill="1" applyAlignment="1">
      <alignment vertical="top" wrapText="1"/>
    </xf>
    <xf numFmtId="0" fontId="21" fillId="11" borderId="0" xfId="0" applyFont="1" applyFill="1" applyAlignment="1"/>
    <xf numFmtId="0" fontId="22" fillId="11" borderId="0" xfId="0" applyFont="1" applyFill="1" applyAlignment="1"/>
    <xf numFmtId="0" fontId="22" fillId="11" borderId="0" xfId="0" applyFont="1" applyFill="1" applyBorder="1" applyAlignment="1"/>
    <xf numFmtId="3" fontId="9" fillId="0" borderId="0" xfId="0" applyNumberFormat="1" applyFont="1" applyFill="1" applyBorder="1" applyAlignment="1">
      <alignment horizontal="center" vertical="top" wrapText="1"/>
    </xf>
    <xf numFmtId="3" fontId="9" fillId="0" borderId="0" xfId="0" applyNumberFormat="1" applyFont="1" applyFill="1" applyBorder="1" applyAlignment="1">
      <alignment horizontal="left" vertical="top"/>
    </xf>
    <xf numFmtId="0" fontId="23" fillId="11" borderId="1" xfId="0" applyFont="1" applyFill="1" applyBorder="1" applyAlignment="1"/>
    <xf numFmtId="0" fontId="24" fillId="11" borderId="1" xfId="0" applyFont="1" applyFill="1" applyBorder="1" applyAlignment="1"/>
    <xf numFmtId="165" fontId="25" fillId="11" borderId="1" xfId="1" applyFont="1" applyFill="1" applyBorder="1" applyAlignment="1">
      <alignment horizontal="right" wrapText="1"/>
    </xf>
    <xf numFmtId="0" fontId="24" fillId="11" borderId="1" xfId="0" applyFont="1" applyFill="1" applyBorder="1" applyAlignment="1">
      <alignment horizontal="right" wrapText="1"/>
    </xf>
    <xf numFmtId="164" fontId="25" fillId="11" borderId="1" xfId="3" applyNumberFormat="1" applyFont="1" applyFill="1" applyBorder="1" applyAlignment="1">
      <alignment horizontal="right" wrapText="1"/>
    </xf>
    <xf numFmtId="0" fontId="24" fillId="11" borderId="0" xfId="0" applyFont="1" applyFill="1" applyAlignment="1"/>
    <xf numFmtId="0" fontId="10" fillId="12" borderId="1" xfId="0" applyFont="1" applyFill="1" applyBorder="1" applyAlignment="1"/>
    <xf numFmtId="2" fontId="10" fillId="12" borderId="1" xfId="0" applyNumberFormat="1" applyFont="1" applyFill="1" applyBorder="1" applyAlignment="1">
      <alignment horizontal="right"/>
    </xf>
    <xf numFmtId="167" fontId="10" fillId="12" borderId="1" xfId="1" applyNumberFormat="1" applyFont="1" applyFill="1" applyBorder="1" applyAlignment="1">
      <alignment horizontal="left"/>
    </xf>
    <xf numFmtId="167" fontId="10" fillId="0" borderId="1" xfId="1" applyNumberFormat="1" applyFont="1" applyFill="1" applyBorder="1" applyAlignment="1">
      <alignment horizontal="left"/>
    </xf>
    <xf numFmtId="164" fontId="10" fillId="0" borderId="1" xfId="3" applyNumberFormat="1" applyFont="1" applyFill="1" applyBorder="1" applyAlignment="1">
      <alignment horizontal="center"/>
    </xf>
    <xf numFmtId="169" fontId="10" fillId="0" borderId="1" xfId="2" applyFont="1" applyFill="1" applyBorder="1" applyAlignment="1">
      <alignment horizontal="center"/>
    </xf>
    <xf numFmtId="165" fontId="10" fillId="12" borderId="1" xfId="1" applyNumberFormat="1" applyFont="1" applyFill="1" applyBorder="1" applyAlignment="1">
      <alignment horizontal="right" vertical="center"/>
    </xf>
    <xf numFmtId="10" fontId="10" fillId="12" borderId="1" xfId="3" applyNumberFormat="1" applyFont="1" applyFill="1" applyBorder="1" applyAlignment="1">
      <alignment horizontal="right" vertical="center"/>
    </xf>
    <xf numFmtId="2" fontId="25" fillId="11" borderId="1" xfId="0" applyNumberFormat="1" applyFont="1" applyFill="1" applyBorder="1" applyAlignment="1">
      <alignment horizontal="right"/>
    </xf>
    <xf numFmtId="167" fontId="25" fillId="11" borderId="1" xfId="1" applyNumberFormat="1" applyFont="1" applyFill="1" applyBorder="1" applyAlignment="1">
      <alignment horizontal="left"/>
    </xf>
    <xf numFmtId="164" fontId="25" fillId="11" borderId="1" xfId="3" applyNumberFormat="1" applyFont="1" applyFill="1" applyBorder="1" applyAlignment="1">
      <alignment horizontal="center"/>
    </xf>
    <xf numFmtId="169" fontId="25" fillId="11" borderId="1" xfId="2" applyFont="1" applyFill="1" applyBorder="1" applyAlignment="1">
      <alignment horizontal="center"/>
    </xf>
    <xf numFmtId="165" fontId="25" fillId="11" borderId="1" xfId="1" applyNumberFormat="1" applyFont="1" applyFill="1" applyBorder="1" applyAlignment="1">
      <alignment horizontal="right" vertical="center"/>
    </xf>
    <xf numFmtId="10" fontId="25" fillId="11" borderId="1" xfId="3" applyNumberFormat="1" applyFont="1" applyFill="1" applyBorder="1" applyAlignment="1">
      <alignment horizontal="right" vertical="center"/>
    </xf>
    <xf numFmtId="0" fontId="24" fillId="11" borderId="0" xfId="0" applyFont="1" applyFill="1"/>
    <xf numFmtId="167" fontId="10" fillId="12" borderId="1" xfId="1" applyNumberFormat="1" applyFont="1" applyFill="1" applyBorder="1" applyAlignment="1">
      <alignment horizontal="right"/>
    </xf>
    <xf numFmtId="164" fontId="10" fillId="0" borderId="1" xfId="3" applyNumberFormat="1" applyFont="1" applyFill="1" applyBorder="1" applyAlignment="1">
      <alignment horizontal="center" vertical="center"/>
    </xf>
    <xf numFmtId="0" fontId="10" fillId="11" borderId="0" xfId="0" applyFont="1" applyFill="1" applyAlignment="1">
      <alignment horizontal="left" vertical="center" wrapText="1"/>
    </xf>
    <xf numFmtId="0" fontId="26" fillId="13" borderId="0" xfId="0" applyFont="1" applyFill="1"/>
    <xf numFmtId="0" fontId="26" fillId="13" borderId="0" xfId="0" applyFont="1" applyFill="1" applyAlignment="1">
      <alignment horizontal="center"/>
    </xf>
    <xf numFmtId="0" fontId="26" fillId="3" borderId="0" xfId="0" applyFont="1" applyFill="1"/>
    <xf numFmtId="0" fontId="26" fillId="14" borderId="0" xfId="0" applyFont="1" applyFill="1"/>
    <xf numFmtId="0" fontId="26" fillId="14" borderId="0" xfId="0" applyFont="1" applyFill="1" applyAlignment="1">
      <alignment horizontal="center"/>
    </xf>
    <xf numFmtId="0" fontId="27" fillId="14" borderId="0" xfId="0" applyFont="1" applyFill="1" applyAlignment="1">
      <alignment vertical="top" wrapText="1"/>
    </xf>
    <xf numFmtId="0" fontId="26" fillId="0" borderId="0" xfId="0" applyFont="1"/>
    <xf numFmtId="0" fontId="15" fillId="14" borderId="0" xfId="0" applyFont="1" applyFill="1" applyAlignment="1"/>
    <xf numFmtId="0" fontId="16" fillId="14" borderId="0" xfId="0" applyFont="1" applyFill="1" applyAlignment="1"/>
    <xf numFmtId="0" fontId="16" fillId="14" borderId="0" xfId="0" applyFont="1" applyFill="1" applyBorder="1" applyAlignment="1"/>
    <xf numFmtId="0" fontId="1" fillId="0" borderId="1" xfId="0" applyFont="1" applyFill="1" applyBorder="1"/>
    <xf numFmtId="0" fontId="6" fillId="14" borderId="1" xfId="0" applyFont="1" applyFill="1" applyBorder="1" applyAlignment="1"/>
    <xf numFmtId="0" fontId="1" fillId="14" borderId="1" xfId="0" applyFont="1" applyFill="1" applyBorder="1" applyAlignment="1"/>
    <xf numFmtId="165" fontId="10" fillId="14" borderId="1" xfId="1" applyFont="1" applyFill="1" applyBorder="1" applyAlignment="1">
      <alignment horizontal="right" wrapText="1"/>
    </xf>
    <xf numFmtId="0" fontId="1" fillId="14" borderId="1" xfId="0" applyFont="1" applyFill="1" applyBorder="1" applyAlignment="1">
      <alignment horizontal="right" wrapText="1"/>
    </xf>
    <xf numFmtId="164" fontId="10" fillId="14" borderId="1" xfId="3" applyNumberFormat="1" applyFont="1" applyFill="1" applyBorder="1" applyAlignment="1">
      <alignment horizontal="right" wrapText="1"/>
    </xf>
    <xf numFmtId="0" fontId="1" fillId="14" borderId="0" xfId="0" applyFont="1" applyFill="1" applyAlignment="1"/>
    <xf numFmtId="0" fontId="10" fillId="15" borderId="1" xfId="0" applyFont="1" applyFill="1" applyBorder="1" applyAlignment="1"/>
    <xf numFmtId="2" fontId="10" fillId="15" borderId="1" xfId="0" applyNumberFormat="1" applyFont="1" applyFill="1" applyBorder="1" applyAlignment="1">
      <alignment horizontal="right"/>
    </xf>
    <xf numFmtId="167" fontId="10" fillId="15" borderId="1" xfId="1" applyNumberFormat="1" applyFont="1" applyFill="1" applyBorder="1" applyAlignment="1">
      <alignment horizontal="left"/>
    </xf>
    <xf numFmtId="164" fontId="10" fillId="15" borderId="1" xfId="3" applyNumberFormat="1" applyFont="1" applyFill="1" applyBorder="1" applyAlignment="1">
      <alignment horizontal="center"/>
    </xf>
    <xf numFmtId="165" fontId="10" fillId="15" borderId="1" xfId="1" applyNumberFormat="1" applyFont="1" applyFill="1" applyBorder="1" applyAlignment="1">
      <alignment horizontal="right" vertical="center"/>
    </xf>
    <xf numFmtId="10" fontId="10" fillId="15" borderId="1" xfId="3" applyNumberFormat="1" applyFont="1" applyFill="1" applyBorder="1" applyAlignment="1">
      <alignment horizontal="right" vertical="center"/>
    </xf>
    <xf numFmtId="0" fontId="11" fillId="14" borderId="1" xfId="0" applyFont="1" applyFill="1" applyBorder="1" applyAlignment="1"/>
    <xf numFmtId="167" fontId="10" fillId="15" borderId="1" xfId="1" applyNumberFormat="1" applyFont="1" applyFill="1" applyBorder="1" applyAlignment="1">
      <alignment horizontal="right"/>
    </xf>
    <xf numFmtId="10" fontId="10" fillId="15" borderId="1" xfId="3" applyNumberFormat="1" applyFont="1" applyFill="1" applyBorder="1" applyAlignment="1">
      <alignment horizontal="right"/>
    </xf>
    <xf numFmtId="0" fontId="10" fillId="14" borderId="0" xfId="0" applyFont="1" applyFill="1" applyAlignment="1">
      <alignment horizontal="left" vertical="center" wrapText="1"/>
    </xf>
    <xf numFmtId="0" fontId="10" fillId="0" borderId="0" xfId="0" applyFont="1" applyFill="1" applyAlignment="1">
      <alignment horizontal="left" wrapText="1"/>
    </xf>
    <xf numFmtId="0" fontId="28" fillId="0" borderId="0" xfId="0" applyFont="1" applyFill="1" applyAlignment="1">
      <alignment wrapText="1"/>
    </xf>
    <xf numFmtId="0" fontId="26" fillId="0" borderId="0" xfId="0" applyFont="1" applyAlignment="1">
      <alignment horizontal="center"/>
    </xf>
    <xf numFmtId="0" fontId="29" fillId="0" borderId="0" xfId="0" applyFont="1"/>
    <xf numFmtId="0" fontId="30" fillId="0" borderId="0" xfId="0" applyFont="1"/>
    <xf numFmtId="0" fontId="30" fillId="0" borderId="0" xfId="0" applyFont="1" applyAlignment="1">
      <alignment horizontal="center"/>
    </xf>
    <xf numFmtId="0" fontId="30" fillId="0" borderId="0" xfId="0" applyFont="1" applyBorder="1"/>
    <xf numFmtId="0" fontId="30" fillId="0" borderId="0" xfId="0" applyFont="1" applyBorder="1" applyAlignment="1">
      <alignment horizontal="center"/>
    </xf>
    <xf numFmtId="0" fontId="26" fillId="0" borderId="0" xfId="0" applyFont="1" applyBorder="1"/>
    <xf numFmtId="0" fontId="26" fillId="0" borderId="0" xfId="0" applyFont="1" applyBorder="1" applyAlignment="1">
      <alignment horizontal="center"/>
    </xf>
    <xf numFmtId="0" fontId="31" fillId="0" borderId="0" xfId="0" applyFont="1" applyBorder="1"/>
    <xf numFmtId="0" fontId="31" fillId="0" borderId="0" xfId="0"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openxmlformats.org/officeDocument/2006/relationships/image" Target="../media/image11.jpeg"/><Relationship Id="rId2" Type="http://schemas.openxmlformats.org/officeDocument/2006/relationships/image" Target="../media/image7.png"/><Relationship Id="rId1" Type="http://schemas.openxmlformats.org/officeDocument/2006/relationships/image" Target="../media/image4.png"/><Relationship Id="rId6" Type="http://schemas.openxmlformats.org/officeDocument/2006/relationships/image" Target="../media/image10.png"/><Relationship Id="rId11" Type="http://schemas.openxmlformats.org/officeDocument/2006/relationships/image" Target="../media/image14.png"/><Relationship Id="rId5" Type="http://schemas.microsoft.com/office/2007/relationships/hdphoto" Target="../media/hdphoto1.wdp"/><Relationship Id="rId10" Type="http://schemas.openxmlformats.org/officeDocument/2006/relationships/image" Target="../media/image13.png"/><Relationship Id="rId4" Type="http://schemas.openxmlformats.org/officeDocument/2006/relationships/image" Target="../media/image9.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xdr:cNvSpPr txBox="1">
          <a:spLocks noChangeArrowheads="1"/>
        </xdr:cNvSpPr>
      </xdr:nvSpPr>
      <xdr:spPr bwMode="auto">
        <a:xfrm>
          <a:off x="94583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170</xdr:row>
      <xdr:rowOff>0</xdr:rowOff>
    </xdr:from>
    <xdr:ext cx="85725" cy="221876"/>
    <xdr:sp macro="" textlink="">
      <xdr:nvSpPr>
        <xdr:cNvPr id="3" name="Text Box 15"/>
        <xdr:cNvSpPr txBox="1">
          <a:spLocks noChangeArrowheads="1"/>
        </xdr:cNvSpPr>
      </xdr:nvSpPr>
      <xdr:spPr bwMode="auto">
        <a:xfrm>
          <a:off x="4324350" y="32623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xdr:cNvSpPr txBox="1">
          <a:spLocks noChangeArrowheads="1"/>
        </xdr:cNvSpPr>
      </xdr:nvSpPr>
      <xdr:spPr bwMode="auto">
        <a:xfrm>
          <a:off x="99155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xdr:cNvSpPr txBox="1">
          <a:spLocks noChangeArrowheads="1"/>
        </xdr:cNvSpPr>
      </xdr:nvSpPr>
      <xdr:spPr bwMode="auto">
        <a:xfrm>
          <a:off x="99155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224</xdr:row>
      <xdr:rowOff>0</xdr:rowOff>
    </xdr:from>
    <xdr:ext cx="85725" cy="226919"/>
    <xdr:sp macro="" textlink="">
      <xdr:nvSpPr>
        <xdr:cNvPr id="6" name="Text Box 15"/>
        <xdr:cNvSpPr txBox="1">
          <a:spLocks noChangeArrowheads="1"/>
        </xdr:cNvSpPr>
      </xdr:nvSpPr>
      <xdr:spPr bwMode="auto">
        <a:xfrm>
          <a:off x="4324350" y="42881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196</xdr:row>
      <xdr:rowOff>123825</xdr:rowOff>
    </xdr:from>
    <xdr:ext cx="85725" cy="226920"/>
    <xdr:sp macro="" textlink="">
      <xdr:nvSpPr>
        <xdr:cNvPr id="7" name="Text Box 15"/>
        <xdr:cNvSpPr txBox="1">
          <a:spLocks noChangeArrowheads="1"/>
        </xdr:cNvSpPr>
      </xdr:nvSpPr>
      <xdr:spPr bwMode="auto">
        <a:xfrm>
          <a:off x="4324350" y="376999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172</xdr:row>
      <xdr:rowOff>0</xdr:rowOff>
    </xdr:from>
    <xdr:ext cx="85725" cy="221876"/>
    <xdr:sp macro="" textlink="">
      <xdr:nvSpPr>
        <xdr:cNvPr id="8" name="Text Box 15"/>
        <xdr:cNvSpPr txBox="1">
          <a:spLocks noChangeArrowheads="1"/>
        </xdr:cNvSpPr>
      </xdr:nvSpPr>
      <xdr:spPr bwMode="auto">
        <a:xfrm>
          <a:off x="4324350" y="33004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169</xdr:row>
      <xdr:rowOff>0</xdr:rowOff>
    </xdr:from>
    <xdr:ext cx="85725" cy="221876"/>
    <xdr:sp macro="" textlink="">
      <xdr:nvSpPr>
        <xdr:cNvPr id="9" name="Text Box 15"/>
        <xdr:cNvSpPr txBox="1">
          <a:spLocks noChangeArrowheads="1"/>
        </xdr:cNvSpPr>
      </xdr:nvSpPr>
      <xdr:spPr bwMode="auto">
        <a:xfrm>
          <a:off x="4324350" y="32432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24</xdr:col>
      <xdr:colOff>174172</xdr:colOff>
      <xdr:row>2</xdr:row>
      <xdr:rowOff>0</xdr:rowOff>
    </xdr:from>
    <xdr:to>
      <xdr:col>24</xdr:col>
      <xdr:colOff>605972</xdr:colOff>
      <xdr:row>5</xdr:row>
      <xdr:rowOff>92528</xdr:rowOff>
    </xdr:to>
    <xdr:pic>
      <xdr:nvPicPr>
        <xdr:cNvPr id="10" name="Picture 9"/>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42872" y="381000"/>
          <a:ext cx="431800" cy="635453"/>
        </a:xfrm>
        <a:prstGeom prst="rect">
          <a:avLst/>
        </a:prstGeom>
      </xdr:spPr>
    </xdr:pic>
    <xdr:clientData/>
  </xdr:twoCellAnchor>
  <xdr:oneCellAnchor>
    <xdr:from>
      <xdr:col>5</xdr:col>
      <xdr:colOff>0</xdr:colOff>
      <xdr:row>170</xdr:row>
      <xdr:rowOff>0</xdr:rowOff>
    </xdr:from>
    <xdr:ext cx="85725" cy="221876"/>
    <xdr:sp macro="" textlink="">
      <xdr:nvSpPr>
        <xdr:cNvPr id="11" name="Text Box 15"/>
        <xdr:cNvSpPr txBox="1">
          <a:spLocks noChangeArrowheads="1"/>
        </xdr:cNvSpPr>
      </xdr:nvSpPr>
      <xdr:spPr bwMode="auto">
        <a:xfrm>
          <a:off x="4324350" y="32623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172</xdr:row>
      <xdr:rowOff>0</xdr:rowOff>
    </xdr:from>
    <xdr:ext cx="85725" cy="221876"/>
    <xdr:sp macro="" textlink="">
      <xdr:nvSpPr>
        <xdr:cNvPr id="12" name="Text Box 15"/>
        <xdr:cNvSpPr txBox="1">
          <a:spLocks noChangeArrowheads="1"/>
        </xdr:cNvSpPr>
      </xdr:nvSpPr>
      <xdr:spPr bwMode="auto">
        <a:xfrm>
          <a:off x="4324350" y="33004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169</xdr:row>
      <xdr:rowOff>0</xdr:rowOff>
    </xdr:from>
    <xdr:ext cx="85725" cy="221876"/>
    <xdr:sp macro="" textlink="">
      <xdr:nvSpPr>
        <xdr:cNvPr id="13" name="Text Box 15"/>
        <xdr:cNvSpPr txBox="1">
          <a:spLocks noChangeArrowheads="1"/>
        </xdr:cNvSpPr>
      </xdr:nvSpPr>
      <xdr:spPr bwMode="auto">
        <a:xfrm>
          <a:off x="4324350" y="32432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44824</xdr:colOff>
      <xdr:row>1</xdr:row>
      <xdr:rowOff>44824</xdr:rowOff>
    </xdr:from>
    <xdr:to>
      <xdr:col>2</xdr:col>
      <xdr:colOff>519824</xdr:colOff>
      <xdr:row>6</xdr:row>
      <xdr:rowOff>5068</xdr:rowOff>
    </xdr:to>
    <xdr:pic>
      <xdr:nvPicPr>
        <xdr:cNvPr id="14" name="Picture 13">
          <a:extLst>
            <a:ext uri="{FF2B5EF4-FFF2-40B4-BE49-F238E27FC236}">
              <a16:creationId xmlns:a16="http://schemas.microsoft.com/office/drawing/2014/main" id="{696E286F-49D4-4D0A-B4EE-A39D05B0C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0624" y="235324"/>
          <a:ext cx="894100" cy="874644"/>
        </a:xfrm>
        <a:prstGeom prst="rect">
          <a:avLst/>
        </a:prstGeom>
      </xdr:spPr>
    </xdr:pic>
    <xdr:clientData/>
  </xdr:twoCellAnchor>
  <xdr:twoCellAnchor>
    <xdr:from>
      <xdr:col>3</xdr:col>
      <xdr:colOff>17929</xdr:colOff>
      <xdr:row>1</xdr:row>
      <xdr:rowOff>71718</xdr:rowOff>
    </xdr:from>
    <xdr:to>
      <xdr:col>5</xdr:col>
      <xdr:colOff>13854</xdr:colOff>
      <xdr:row>5</xdr:row>
      <xdr:rowOff>138546</xdr:rowOff>
    </xdr:to>
    <xdr:sp macro="" textlink="">
      <xdr:nvSpPr>
        <xdr:cNvPr id="15" name="TextBox 14">
          <a:extLst>
            <a:ext uri="{FF2B5EF4-FFF2-40B4-BE49-F238E27FC236}">
              <a16:creationId xmlns:a16="http://schemas.microsoft.com/office/drawing/2014/main" id="{DF394E20-7B74-42CF-864C-5087202DAA71}"/>
            </a:ext>
          </a:extLst>
        </xdr:cNvPr>
        <xdr:cNvSpPr txBox="1"/>
      </xdr:nvSpPr>
      <xdr:spPr>
        <a:xfrm>
          <a:off x="1961029" y="262218"/>
          <a:ext cx="2377175"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xdr:cNvSpPr txBox="1">
          <a:spLocks noChangeArrowheads="1"/>
        </xdr:cNvSpPr>
      </xdr:nvSpPr>
      <xdr:spPr bwMode="auto">
        <a:xfrm>
          <a:off x="940117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60</xdr:row>
      <xdr:rowOff>0</xdr:rowOff>
    </xdr:from>
    <xdr:ext cx="85725" cy="221876"/>
    <xdr:sp macro="" textlink="">
      <xdr:nvSpPr>
        <xdr:cNvPr id="3" name="Text Box 15"/>
        <xdr:cNvSpPr txBox="1">
          <a:spLocks noChangeArrowheads="1"/>
        </xdr:cNvSpPr>
      </xdr:nvSpPr>
      <xdr:spPr bwMode="auto">
        <a:xfrm>
          <a:off x="4324350" y="11858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xdr:cNvSpPr txBox="1">
          <a:spLocks noChangeArrowheads="1"/>
        </xdr:cNvSpPr>
      </xdr:nvSpPr>
      <xdr:spPr bwMode="auto">
        <a:xfrm>
          <a:off x="985837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xdr:cNvSpPr txBox="1">
          <a:spLocks noChangeArrowheads="1"/>
        </xdr:cNvSpPr>
      </xdr:nvSpPr>
      <xdr:spPr bwMode="auto">
        <a:xfrm>
          <a:off x="985837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77</xdr:row>
      <xdr:rowOff>0</xdr:rowOff>
    </xdr:from>
    <xdr:ext cx="85725" cy="226919"/>
    <xdr:sp macro="" textlink="">
      <xdr:nvSpPr>
        <xdr:cNvPr id="6" name="Text Box 15"/>
        <xdr:cNvSpPr txBox="1">
          <a:spLocks noChangeArrowheads="1"/>
        </xdr:cNvSpPr>
      </xdr:nvSpPr>
      <xdr:spPr bwMode="auto">
        <a:xfrm>
          <a:off x="4324350" y="150971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60</xdr:row>
      <xdr:rowOff>0</xdr:rowOff>
    </xdr:from>
    <xdr:ext cx="85725" cy="226920"/>
    <xdr:sp macro="" textlink="">
      <xdr:nvSpPr>
        <xdr:cNvPr id="7" name="Text Box 15"/>
        <xdr:cNvSpPr txBox="1">
          <a:spLocks noChangeArrowheads="1"/>
        </xdr:cNvSpPr>
      </xdr:nvSpPr>
      <xdr:spPr bwMode="auto">
        <a:xfrm>
          <a:off x="4324350" y="118586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24</xdr:col>
      <xdr:colOff>174171</xdr:colOff>
      <xdr:row>1</xdr:row>
      <xdr:rowOff>174172</xdr:rowOff>
    </xdr:from>
    <xdr:to>
      <xdr:col>24</xdr:col>
      <xdr:colOff>605971</xdr:colOff>
      <xdr:row>5</xdr:row>
      <xdr:rowOff>81643</xdr:rowOff>
    </xdr:to>
    <xdr:pic>
      <xdr:nvPicPr>
        <xdr:cNvPr id="8" name="Picture 7"/>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5721" y="364672"/>
          <a:ext cx="431800" cy="640896"/>
        </a:xfrm>
        <a:prstGeom prst="rect">
          <a:avLst/>
        </a:prstGeom>
      </xdr:spPr>
    </xdr:pic>
    <xdr:clientData/>
  </xdr:twoCellAnchor>
  <xdr:twoCellAnchor editAs="oneCell">
    <xdr:from>
      <xdr:col>1</xdr:col>
      <xdr:colOff>8964</xdr:colOff>
      <xdr:row>1</xdr:row>
      <xdr:rowOff>44823</xdr:rowOff>
    </xdr:from>
    <xdr:to>
      <xdr:col>2</xdr:col>
      <xdr:colOff>483964</xdr:colOff>
      <xdr:row>6</xdr:row>
      <xdr:rowOff>5067</xdr:rowOff>
    </xdr:to>
    <xdr:pic>
      <xdr:nvPicPr>
        <xdr:cNvPr id="9" name="Picture 8">
          <a:extLst>
            <a:ext uri="{FF2B5EF4-FFF2-40B4-BE49-F238E27FC236}">
              <a16:creationId xmlns:a16="http://schemas.microsoft.com/office/drawing/2014/main" id="{696E286F-49D4-4D0A-B4EE-A39D05B0C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4764" y="235323"/>
          <a:ext cx="894100" cy="874644"/>
        </a:xfrm>
        <a:prstGeom prst="rect">
          <a:avLst/>
        </a:prstGeom>
      </xdr:spPr>
    </xdr:pic>
    <xdr:clientData/>
  </xdr:twoCellAnchor>
  <xdr:twoCellAnchor>
    <xdr:from>
      <xdr:col>3</xdr:col>
      <xdr:colOff>26894</xdr:colOff>
      <xdr:row>1</xdr:row>
      <xdr:rowOff>80683</xdr:rowOff>
    </xdr:from>
    <xdr:to>
      <xdr:col>3</xdr:col>
      <xdr:colOff>2286000</xdr:colOff>
      <xdr:row>6</xdr:row>
      <xdr:rowOff>13854</xdr:rowOff>
    </xdr:to>
    <xdr:sp macro="" textlink="">
      <xdr:nvSpPr>
        <xdr:cNvPr id="10" name="TextBox 9">
          <a:extLst>
            <a:ext uri="{FF2B5EF4-FFF2-40B4-BE49-F238E27FC236}">
              <a16:creationId xmlns:a16="http://schemas.microsoft.com/office/drawing/2014/main" id="{DF394E20-7B74-42CF-864C-5087202DAA71}"/>
            </a:ext>
          </a:extLst>
        </xdr:cNvPr>
        <xdr:cNvSpPr txBox="1"/>
      </xdr:nvSpPr>
      <xdr:spPr>
        <a:xfrm>
          <a:off x="1969994" y="271183"/>
          <a:ext cx="2259106" cy="84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Single Asset ETPs</a:t>
          </a:r>
        </a:p>
        <a:p>
          <a:endParaRPr lang="en-AU" sz="1500" cap="none" baseline="0">
            <a:solidFill>
              <a:schemeClr val="bg1"/>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xdr:cNvSpPr txBox="1">
          <a:spLocks noChangeArrowheads="1"/>
        </xdr:cNvSpPr>
      </xdr:nvSpPr>
      <xdr:spPr bwMode="auto">
        <a:xfrm>
          <a:off x="8877300"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141</xdr:row>
      <xdr:rowOff>0</xdr:rowOff>
    </xdr:from>
    <xdr:ext cx="85725" cy="221876"/>
    <xdr:sp macro="" textlink="">
      <xdr:nvSpPr>
        <xdr:cNvPr id="3" name="Text Box 15"/>
        <xdr:cNvSpPr txBox="1">
          <a:spLocks noChangeArrowheads="1"/>
        </xdr:cNvSpPr>
      </xdr:nvSpPr>
      <xdr:spPr bwMode="auto">
        <a:xfrm>
          <a:off x="4324350" y="33728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xdr:cNvSpPr txBox="1">
          <a:spLocks noChangeArrowheads="1"/>
        </xdr:cNvSpPr>
      </xdr:nvSpPr>
      <xdr:spPr bwMode="auto">
        <a:xfrm>
          <a:off x="8877300"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xdr:cNvSpPr txBox="1">
          <a:spLocks noChangeArrowheads="1"/>
        </xdr:cNvSpPr>
      </xdr:nvSpPr>
      <xdr:spPr bwMode="auto">
        <a:xfrm>
          <a:off x="8877300"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244</xdr:row>
      <xdr:rowOff>0</xdr:rowOff>
    </xdr:from>
    <xdr:ext cx="85725" cy="226919"/>
    <xdr:sp macro="" textlink="">
      <xdr:nvSpPr>
        <xdr:cNvPr id="6" name="Text Box 15"/>
        <xdr:cNvSpPr txBox="1">
          <a:spLocks noChangeArrowheads="1"/>
        </xdr:cNvSpPr>
      </xdr:nvSpPr>
      <xdr:spPr bwMode="auto">
        <a:xfrm>
          <a:off x="4324350" y="575310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220</xdr:row>
      <xdr:rowOff>0</xdr:rowOff>
    </xdr:from>
    <xdr:ext cx="85725" cy="226920"/>
    <xdr:sp macro="" textlink="">
      <xdr:nvSpPr>
        <xdr:cNvPr id="7" name="Text Box 15"/>
        <xdr:cNvSpPr txBox="1">
          <a:spLocks noChangeArrowheads="1"/>
        </xdr:cNvSpPr>
      </xdr:nvSpPr>
      <xdr:spPr bwMode="auto">
        <a:xfrm>
          <a:off x="4324350" y="525399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0957" y="479961"/>
          <a:ext cx="439965" cy="625928"/>
        </a:xfrm>
        <a:prstGeom prst="rect">
          <a:avLst/>
        </a:prstGeom>
      </xdr:spPr>
    </xdr:pic>
    <xdr:clientData/>
  </xdr:twoCellAnchor>
  <xdr:twoCellAnchor editAs="oneCell">
    <xdr:from>
      <xdr:col>1</xdr:col>
      <xdr:colOff>133350</xdr:colOff>
      <xdr:row>2</xdr:row>
      <xdr:rowOff>19050</xdr:rowOff>
    </xdr:from>
    <xdr:to>
      <xdr:col>2</xdr:col>
      <xdr:colOff>603583</xdr:colOff>
      <xdr:row>5</xdr:row>
      <xdr:rowOff>84811</xdr:rowOff>
    </xdr:to>
    <xdr:pic>
      <xdr:nvPicPr>
        <xdr:cNvPr id="9" name="Picture 8">
          <a:extLst>
            <a:ext uri="{FF2B5EF4-FFF2-40B4-BE49-F238E27FC236}">
              <a16:creationId xmlns:a16="http://schemas.microsoft.com/office/drawing/2014/main" id="{6611723F-FB9C-4914-AFF2-4C5ECABEFB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89333" cy="85633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067AB12A-160C-4FC1-AA15-F6673090B633}"/>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220</xdr:row>
      <xdr:rowOff>0</xdr:rowOff>
    </xdr:from>
    <xdr:to>
      <xdr:col>17</xdr:col>
      <xdr:colOff>85725</xdr:colOff>
      <xdr:row>220</xdr:row>
      <xdr:rowOff>197206</xdr:rowOff>
    </xdr:to>
    <xdr:sp macro="" textlink="">
      <xdr:nvSpPr>
        <xdr:cNvPr id="11" name="Text Box 15"/>
        <xdr:cNvSpPr txBox="1">
          <a:spLocks noChangeArrowheads="1"/>
        </xdr:cNvSpPr>
      </xdr:nvSpPr>
      <xdr:spPr bwMode="auto">
        <a:xfrm>
          <a:off x="8915400" y="52539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xdr:cNvSpPr txBox="1">
          <a:spLocks noChangeArrowheads="1"/>
        </xdr:cNvSpPr>
      </xdr:nvSpPr>
      <xdr:spPr bwMode="auto">
        <a:xfrm>
          <a:off x="8858250"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137</xdr:row>
      <xdr:rowOff>0</xdr:rowOff>
    </xdr:from>
    <xdr:ext cx="85725" cy="221877"/>
    <xdr:sp macro="" textlink="">
      <xdr:nvSpPr>
        <xdr:cNvPr id="3" name="Text Box 15"/>
        <xdr:cNvSpPr txBox="1">
          <a:spLocks noChangeArrowheads="1"/>
        </xdr:cNvSpPr>
      </xdr:nvSpPr>
      <xdr:spPr bwMode="auto">
        <a:xfrm>
          <a:off x="4324350" y="2645092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xdr:cNvSpPr txBox="1">
          <a:spLocks noChangeArrowheads="1"/>
        </xdr:cNvSpPr>
      </xdr:nvSpPr>
      <xdr:spPr bwMode="auto">
        <a:xfrm>
          <a:off x="9315450"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xdr:cNvSpPr txBox="1">
          <a:spLocks noChangeArrowheads="1"/>
        </xdr:cNvSpPr>
      </xdr:nvSpPr>
      <xdr:spPr bwMode="auto">
        <a:xfrm>
          <a:off x="9315450"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24</xdr:col>
      <xdr:colOff>76199</xdr:colOff>
      <xdr:row>1</xdr:row>
      <xdr:rowOff>74744</xdr:rowOff>
    </xdr:from>
    <xdr:to>
      <xdr:col>24</xdr:col>
      <xdr:colOff>646409</xdr:colOff>
      <xdr:row>6</xdr:row>
      <xdr:rowOff>13387</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11424" y="265244"/>
          <a:ext cx="570210" cy="85304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3394</xdr:rowOff>
    </xdr:to>
    <xdr:pic>
      <xdr:nvPicPr>
        <xdr:cNvPr id="7" name="Picture 6">
          <a:extLst>
            <a:ext uri="{FF2B5EF4-FFF2-40B4-BE49-F238E27FC236}">
              <a16:creationId xmlns:a16="http://schemas.microsoft.com/office/drawing/2014/main" id="{40DFBC17-CF61-4148-83D7-72D95A1041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6524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D970AB60-7AEC-42C2-9E47-C1980CF12C17}"/>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130</xdr:row>
      <xdr:rowOff>0</xdr:rowOff>
    </xdr:from>
    <xdr:to>
      <xdr:col>17</xdr:col>
      <xdr:colOff>85725</xdr:colOff>
      <xdr:row>131</xdr:row>
      <xdr:rowOff>14327</xdr:rowOff>
    </xdr:to>
    <xdr:sp macro="" textlink="">
      <xdr:nvSpPr>
        <xdr:cNvPr id="9" name="Text Box 15"/>
        <xdr:cNvSpPr txBox="1">
          <a:spLocks noChangeArrowheads="1"/>
        </xdr:cNvSpPr>
      </xdr:nvSpPr>
      <xdr:spPr bwMode="auto">
        <a:xfrm>
          <a:off x="10858500" y="25117425"/>
          <a:ext cx="85725" cy="204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xdr:cNvSpPr txBox="1">
          <a:spLocks noChangeArrowheads="1"/>
        </xdr:cNvSpPr>
      </xdr:nvSpPr>
      <xdr:spPr bwMode="auto">
        <a:xfrm>
          <a:off x="806767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68</xdr:row>
      <xdr:rowOff>0</xdr:rowOff>
    </xdr:from>
    <xdr:to>
      <xdr:col>5</xdr:col>
      <xdr:colOff>85725</xdr:colOff>
      <xdr:row>69</xdr:row>
      <xdr:rowOff>76195</xdr:rowOff>
    </xdr:to>
    <xdr:sp macro="" textlink="">
      <xdr:nvSpPr>
        <xdr:cNvPr id="3" name="Text Box 15"/>
        <xdr:cNvSpPr txBox="1">
          <a:spLocks noChangeArrowheads="1"/>
        </xdr:cNvSpPr>
      </xdr:nvSpPr>
      <xdr:spPr bwMode="auto">
        <a:xfrm>
          <a:off x="4324350" y="13030200"/>
          <a:ext cx="85725" cy="21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61</xdr:row>
      <xdr:rowOff>0</xdr:rowOff>
    </xdr:from>
    <xdr:to>
      <xdr:col>13</xdr:col>
      <xdr:colOff>85725</xdr:colOff>
      <xdr:row>62</xdr:row>
      <xdr:rowOff>14326</xdr:rowOff>
    </xdr:to>
    <xdr:sp macro="" textlink="">
      <xdr:nvSpPr>
        <xdr:cNvPr id="4" name="Text Box 15"/>
        <xdr:cNvSpPr txBox="1">
          <a:spLocks noChangeArrowheads="1"/>
        </xdr:cNvSpPr>
      </xdr:nvSpPr>
      <xdr:spPr bwMode="auto">
        <a:xfrm>
          <a:off x="8562975" y="11696700"/>
          <a:ext cx="85725" cy="2048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42</xdr:row>
      <xdr:rowOff>123825</xdr:rowOff>
    </xdr:from>
    <xdr:to>
      <xdr:col>13</xdr:col>
      <xdr:colOff>85725</xdr:colOff>
      <xdr:row>43</xdr:row>
      <xdr:rowOff>163287</xdr:rowOff>
    </xdr:to>
    <xdr:sp macro="" textlink="">
      <xdr:nvSpPr>
        <xdr:cNvPr id="5" name="Text Box 15"/>
        <xdr:cNvSpPr txBox="1">
          <a:spLocks noChangeArrowheads="1"/>
        </xdr:cNvSpPr>
      </xdr:nvSpPr>
      <xdr:spPr bwMode="auto">
        <a:xfrm>
          <a:off x="8562975" y="8334375"/>
          <a:ext cx="85725" cy="22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58270</xdr:colOff>
      <xdr:row>1</xdr:row>
      <xdr:rowOff>61473</xdr:rowOff>
    </xdr:from>
    <xdr:to>
      <xdr:col>20</xdr:col>
      <xdr:colOff>630925</xdr:colOff>
      <xdr:row>6</xdr:row>
      <xdr:rowOff>38712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1320" y="251973"/>
          <a:ext cx="572655" cy="853539"/>
        </a:xfrm>
        <a:prstGeom prst="rect">
          <a:avLst/>
        </a:prstGeom>
      </xdr:spPr>
    </xdr:pic>
    <xdr:clientData/>
  </xdr:twoCellAnchor>
  <xdr:twoCellAnchor editAs="oneCell">
    <xdr:from>
      <xdr:col>0</xdr:col>
      <xdr:colOff>681319</xdr:colOff>
      <xdr:row>1</xdr:row>
      <xdr:rowOff>62752</xdr:rowOff>
    </xdr:from>
    <xdr:to>
      <xdr:col>2</xdr:col>
      <xdr:colOff>469438</xdr:colOff>
      <xdr:row>6</xdr:row>
      <xdr:rowOff>76966</xdr:rowOff>
    </xdr:to>
    <xdr:pic>
      <xdr:nvPicPr>
        <xdr:cNvPr id="7" name="Picture 6">
          <a:extLst>
            <a:ext uri="{FF2B5EF4-FFF2-40B4-BE49-F238E27FC236}">
              <a16:creationId xmlns:a16="http://schemas.microsoft.com/office/drawing/2014/main" id="{F4A3CDB9-1C32-4A5A-A2F5-91C8B04AD8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89301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B4809E9C-9FA5-49E5-B89E-EB36737A2625}"/>
            </a:ext>
          </a:extLst>
        </xdr:cNvPr>
        <xdr:cNvSpPr txBox="1"/>
      </xdr:nvSpPr>
      <xdr:spPr>
        <a:xfrm>
          <a:off x="1943100" y="307041"/>
          <a:ext cx="48663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xdr:cNvSpPr txBox="1">
          <a:spLocks noChangeArrowheads="1"/>
        </xdr:cNvSpPr>
      </xdr:nvSpPr>
      <xdr:spPr bwMode="auto">
        <a:xfrm>
          <a:off x="806767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26</xdr:row>
      <xdr:rowOff>0</xdr:rowOff>
    </xdr:from>
    <xdr:to>
      <xdr:col>5</xdr:col>
      <xdr:colOff>85725</xdr:colOff>
      <xdr:row>27</xdr:row>
      <xdr:rowOff>76198</xdr:rowOff>
    </xdr:to>
    <xdr:sp macro="" textlink="">
      <xdr:nvSpPr>
        <xdr:cNvPr id="3" name="Text Box 15"/>
        <xdr:cNvSpPr txBox="1">
          <a:spLocks noChangeArrowheads="1"/>
        </xdr:cNvSpPr>
      </xdr:nvSpPr>
      <xdr:spPr bwMode="auto">
        <a:xfrm>
          <a:off x="4324350" y="5248275"/>
          <a:ext cx="85725" cy="2190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0</xdr:colOff>
      <xdr:row>0</xdr:row>
      <xdr:rowOff>123825</xdr:rowOff>
    </xdr:from>
    <xdr:to>
      <xdr:col>12</xdr:col>
      <xdr:colOff>383021</xdr:colOff>
      <xdr:row>2</xdr:row>
      <xdr:rowOff>2282</xdr:rowOff>
    </xdr:to>
    <xdr:sp macro="" textlink="">
      <xdr:nvSpPr>
        <xdr:cNvPr id="4" name="Text Box 50"/>
        <xdr:cNvSpPr txBox="1">
          <a:spLocks noChangeArrowheads="1"/>
        </xdr:cNvSpPr>
      </xdr:nvSpPr>
      <xdr:spPr bwMode="auto">
        <a:xfrm>
          <a:off x="852487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11</xdr:col>
      <xdr:colOff>0</xdr:colOff>
      <xdr:row>0</xdr:row>
      <xdr:rowOff>123825</xdr:rowOff>
    </xdr:from>
    <xdr:to>
      <xdr:col>12</xdr:col>
      <xdr:colOff>383021</xdr:colOff>
      <xdr:row>2</xdr:row>
      <xdr:rowOff>2282</xdr:rowOff>
    </xdr:to>
    <xdr:sp macro="" textlink="">
      <xdr:nvSpPr>
        <xdr:cNvPr id="5" name="Text Box 51"/>
        <xdr:cNvSpPr txBox="1">
          <a:spLocks noChangeArrowheads="1"/>
        </xdr:cNvSpPr>
      </xdr:nvSpPr>
      <xdr:spPr bwMode="auto">
        <a:xfrm>
          <a:off x="852487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14</xdr:col>
      <xdr:colOff>0</xdr:colOff>
      <xdr:row>14</xdr:row>
      <xdr:rowOff>0</xdr:rowOff>
    </xdr:from>
    <xdr:to>
      <xdr:col>14</xdr:col>
      <xdr:colOff>85725</xdr:colOff>
      <xdr:row>15</xdr:row>
      <xdr:rowOff>47625</xdr:rowOff>
    </xdr:to>
    <xdr:sp macro="" textlink="">
      <xdr:nvSpPr>
        <xdr:cNvPr id="6" name="Text Box 15"/>
        <xdr:cNvSpPr txBox="1">
          <a:spLocks noChangeArrowheads="1"/>
        </xdr:cNvSpPr>
      </xdr:nvSpPr>
      <xdr:spPr bwMode="auto">
        <a:xfrm>
          <a:off x="9315450" y="3000375"/>
          <a:ext cx="857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11</xdr:row>
      <xdr:rowOff>0</xdr:rowOff>
    </xdr:from>
    <xdr:to>
      <xdr:col>14</xdr:col>
      <xdr:colOff>85725</xdr:colOff>
      <xdr:row>12</xdr:row>
      <xdr:rowOff>47627</xdr:rowOff>
    </xdr:to>
    <xdr:sp macro="" textlink="">
      <xdr:nvSpPr>
        <xdr:cNvPr id="7" name="Text Box 15"/>
        <xdr:cNvSpPr txBox="1">
          <a:spLocks noChangeArrowheads="1"/>
        </xdr:cNvSpPr>
      </xdr:nvSpPr>
      <xdr:spPr bwMode="auto">
        <a:xfrm>
          <a:off x="9315450" y="2457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87085</xdr:colOff>
      <xdr:row>1</xdr:row>
      <xdr:rowOff>87086</xdr:rowOff>
    </xdr:from>
    <xdr:to>
      <xdr:col>21</xdr:col>
      <xdr:colOff>659740</xdr:colOff>
      <xdr:row>6</xdr:row>
      <xdr:rowOff>20782</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2610" y="277586"/>
          <a:ext cx="572655" cy="848096"/>
        </a:xfrm>
        <a:prstGeom prst="rect">
          <a:avLst/>
        </a:prstGeom>
      </xdr:spPr>
    </xdr:pic>
    <xdr:clientData/>
  </xdr:twoCellAnchor>
  <xdr:twoCellAnchor editAs="oneCell">
    <xdr:from>
      <xdr:col>1</xdr:col>
      <xdr:colOff>71718</xdr:colOff>
      <xdr:row>1</xdr:row>
      <xdr:rowOff>53788</xdr:rowOff>
    </xdr:from>
    <xdr:to>
      <xdr:col>2</xdr:col>
      <xdr:colOff>538825</xdr:colOff>
      <xdr:row>6</xdr:row>
      <xdr:rowOff>23178</xdr:rowOff>
    </xdr:to>
    <xdr:pic>
      <xdr:nvPicPr>
        <xdr:cNvPr id="9" name="Picture 8">
          <a:extLst>
            <a:ext uri="{FF2B5EF4-FFF2-40B4-BE49-F238E27FC236}">
              <a16:creationId xmlns:a16="http://schemas.microsoft.com/office/drawing/2014/main" id="{598E756E-78A6-4242-BB34-96B622E8C1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86207" cy="88379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0" name="TextBox 9">
          <a:extLst>
            <a:ext uri="{FF2B5EF4-FFF2-40B4-BE49-F238E27FC236}">
              <a16:creationId xmlns:a16="http://schemas.microsoft.com/office/drawing/2014/main" id="{D8167DED-364C-4605-8F14-AC61332E13C2}"/>
            </a:ext>
          </a:extLst>
        </xdr:cNvPr>
        <xdr:cNvSpPr txBox="1"/>
      </xdr:nvSpPr>
      <xdr:spPr>
        <a:xfrm>
          <a:off x="1938618" y="316005"/>
          <a:ext cx="4878308"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34</xdr:row>
      <xdr:rowOff>138545</xdr:rowOff>
    </xdr:from>
    <xdr:to>
      <xdr:col>2</xdr:col>
      <xdr:colOff>4619</xdr:colOff>
      <xdr:row>39</xdr:row>
      <xdr:rowOff>72242</xdr:rowOff>
    </xdr:to>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328" y="6825095"/>
          <a:ext cx="569191" cy="886197"/>
        </a:xfrm>
        <a:prstGeom prst="rect">
          <a:avLst/>
        </a:prstGeom>
      </xdr:spPr>
    </xdr:pic>
    <xdr:clientData/>
  </xdr:twoCellAnchor>
  <xdr:twoCellAnchor>
    <xdr:from>
      <xdr:col>3</xdr:col>
      <xdr:colOff>69273</xdr:colOff>
      <xdr:row>41</xdr:row>
      <xdr:rowOff>69610</xdr:rowOff>
    </xdr:from>
    <xdr:to>
      <xdr:col>3</xdr:col>
      <xdr:colOff>2153918</xdr:colOff>
      <xdr:row>46</xdr:row>
      <xdr:rowOff>45392</xdr:rowOff>
    </xdr:to>
    <xdr:sp macro="" textlink="">
      <xdr:nvSpPr>
        <xdr:cNvPr id="12" name="Text Box 37"/>
        <xdr:cNvSpPr txBox="1">
          <a:spLocks noChangeArrowheads="1"/>
        </xdr:cNvSpPr>
      </xdr:nvSpPr>
      <xdr:spPr bwMode="auto">
        <a:xfrm>
          <a:off x="2012373" y="8089660"/>
          <a:ext cx="2084645" cy="928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Andrew Weaver</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Manager, Investment Products</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+61 2 9227 0575</a:t>
          </a:r>
        </a:p>
        <a:p>
          <a:pPr algn="l" rtl="0">
            <a:lnSpc>
              <a:spcPts val="1000"/>
            </a:lnSpc>
            <a:defRPr sz="1000"/>
          </a:pPr>
          <a:r>
            <a:rPr lang="en-AU" sz="1000" b="0" i="0" u="none" strike="noStrike" baseline="0">
              <a:solidFill>
                <a:schemeClr val="accent1"/>
              </a:solidFill>
              <a:latin typeface="+mn-lt"/>
              <a:cs typeface="Arial" pitchFamily="34" charset="0"/>
            </a:rPr>
            <a:t>andrew.weaver@asx.com.au </a:t>
          </a:r>
        </a:p>
      </xdr:txBody>
    </xdr:sp>
    <xdr:clientData/>
  </xdr:twoCellAnchor>
  <xdr:twoCellAnchor>
    <xdr:from>
      <xdr:col>8</xdr:col>
      <xdr:colOff>665303</xdr:colOff>
      <xdr:row>41</xdr:row>
      <xdr:rowOff>58417</xdr:rowOff>
    </xdr:from>
    <xdr:to>
      <xdr:col>12</xdr:col>
      <xdr:colOff>561617</xdr:colOff>
      <xdr:row>46</xdr:row>
      <xdr:rowOff>48089</xdr:rowOff>
    </xdr:to>
    <xdr:sp macro="" textlink="">
      <xdr:nvSpPr>
        <xdr:cNvPr id="13" name="Text Box 37"/>
        <xdr:cNvSpPr txBox="1">
          <a:spLocks noChangeArrowheads="1"/>
        </xdr:cNvSpPr>
      </xdr:nvSpPr>
      <xdr:spPr bwMode="auto">
        <a:xfrm>
          <a:off x="7085153" y="8078467"/>
          <a:ext cx="2001339"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David Ho</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National Distribution Manager</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+61 2 9227 0120</a:t>
          </a:r>
        </a:p>
        <a:p>
          <a:pPr algn="l" rtl="0">
            <a:lnSpc>
              <a:spcPts val="1000"/>
            </a:lnSpc>
            <a:defRPr sz="1000"/>
          </a:pPr>
          <a:r>
            <a:rPr lang="en-AU" sz="1000" b="0" i="0" u="none" strike="noStrike" baseline="0">
              <a:solidFill>
                <a:schemeClr val="accent1"/>
              </a:solidFill>
              <a:latin typeface="+mn-lt"/>
              <a:cs typeface="Arial" pitchFamily="34" charset="0"/>
            </a:rPr>
            <a:t>david.ho@asx.com.au </a:t>
          </a:r>
        </a:p>
      </xdr:txBody>
    </xdr:sp>
    <xdr:clientData/>
  </xdr:twoCellAnchor>
  <xdr:twoCellAnchor>
    <xdr:from>
      <xdr:col>3</xdr:col>
      <xdr:colOff>1770023</xdr:colOff>
      <xdr:row>41</xdr:row>
      <xdr:rowOff>69609</xdr:rowOff>
    </xdr:from>
    <xdr:to>
      <xdr:col>6</xdr:col>
      <xdr:colOff>611155</xdr:colOff>
      <xdr:row>46</xdr:row>
      <xdr:rowOff>59281</xdr:rowOff>
    </xdr:to>
    <xdr:sp macro="" textlink="">
      <xdr:nvSpPr>
        <xdr:cNvPr id="14" name="Text Box 37"/>
        <xdr:cNvSpPr txBox="1">
          <a:spLocks noChangeArrowheads="1"/>
        </xdr:cNvSpPr>
      </xdr:nvSpPr>
      <xdr:spPr bwMode="auto">
        <a:xfrm>
          <a:off x="3713123" y="8089659"/>
          <a:ext cx="1793882"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Andrew Campion</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Head of Investment Products</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+61 2 9227 0237</a:t>
          </a:r>
        </a:p>
        <a:p>
          <a:pPr algn="l" rtl="0">
            <a:lnSpc>
              <a:spcPts val="1000"/>
            </a:lnSpc>
            <a:defRPr sz="1000"/>
          </a:pPr>
          <a:r>
            <a:rPr lang="en-AU" sz="1000" b="0" i="0" u="none" strike="noStrike" baseline="0">
              <a:solidFill>
                <a:schemeClr val="accent1"/>
              </a:solidFill>
              <a:latin typeface="+mn-lt"/>
              <a:cs typeface="Arial" pitchFamily="34" charset="0"/>
            </a:rPr>
            <a:t>andrew.campion@asx.com.au </a:t>
          </a:r>
        </a:p>
      </xdr:txBody>
    </xdr:sp>
    <xdr:clientData/>
  </xdr:twoCellAnchor>
  <xdr:twoCellAnchor>
    <xdr:from>
      <xdr:col>12</xdr:col>
      <xdr:colOff>295188</xdr:colOff>
      <xdr:row>41</xdr:row>
      <xdr:rowOff>58416</xdr:rowOff>
    </xdr:from>
    <xdr:to>
      <xdr:col>15</xdr:col>
      <xdr:colOff>816941</xdr:colOff>
      <xdr:row>46</xdr:row>
      <xdr:rowOff>48088</xdr:rowOff>
    </xdr:to>
    <xdr:sp macro="" textlink="">
      <xdr:nvSpPr>
        <xdr:cNvPr id="15" name="Text Box 37"/>
        <xdr:cNvSpPr txBox="1">
          <a:spLocks noChangeArrowheads="1"/>
        </xdr:cNvSpPr>
      </xdr:nvSpPr>
      <xdr:spPr bwMode="auto">
        <a:xfrm>
          <a:off x="8820063" y="8078466"/>
          <a:ext cx="1998128"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Charmaine Breadon</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Business Development Manager</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+61 2 9227 0654</a:t>
          </a:r>
        </a:p>
        <a:p>
          <a:pPr algn="l" rtl="0">
            <a:lnSpc>
              <a:spcPts val="1000"/>
            </a:lnSpc>
            <a:defRPr sz="1000"/>
          </a:pPr>
          <a:r>
            <a:rPr lang="en-AU" sz="1000" b="0" i="0" u="none" strike="noStrike" baseline="0">
              <a:solidFill>
                <a:schemeClr val="accent1"/>
              </a:solidFill>
              <a:latin typeface="+mn-lt"/>
              <a:cs typeface="Arial" pitchFamily="34" charset="0"/>
            </a:rPr>
            <a:t>charmaine.breadon@asx.com.au </a:t>
          </a:r>
        </a:p>
      </xdr:txBody>
    </xdr:sp>
    <xdr:clientData/>
  </xdr:twoCellAnchor>
  <xdr:twoCellAnchor>
    <xdr:from>
      <xdr:col>9</xdr:col>
      <xdr:colOff>160592</xdr:colOff>
      <xdr:row>33</xdr:row>
      <xdr:rowOff>166716</xdr:rowOff>
    </xdr:from>
    <xdr:to>
      <xdr:col>12</xdr:col>
      <xdr:colOff>52426</xdr:colOff>
      <xdr:row>40</xdr:row>
      <xdr:rowOff>104205</xdr:rowOff>
    </xdr:to>
    <xdr:pic>
      <xdr:nvPicPr>
        <xdr:cNvPr id="16" name="Picture 1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93" t="2810" r="1293" b="2810"/>
        <a:stretch/>
      </xdr:blipFill>
      <xdr:spPr>
        <a:xfrm>
          <a:off x="7390067" y="6662766"/>
          <a:ext cx="1187234" cy="1270989"/>
        </a:xfrm>
        <a:prstGeom prst="ellipse">
          <a:avLst/>
        </a:prstGeom>
        <a:ln w="63500" cap="rnd">
          <a:noFill/>
        </a:ln>
        <a:effectLst/>
      </xdr:spPr>
    </xdr:pic>
    <xdr:clientData/>
  </xdr:twoCellAnchor>
  <xdr:twoCellAnchor>
    <xdr:from>
      <xdr:col>12</xdr:col>
      <xdr:colOff>457607</xdr:colOff>
      <xdr:row>33</xdr:row>
      <xdr:rowOff>138546</xdr:rowOff>
    </xdr:from>
    <xdr:to>
      <xdr:col>15</xdr:col>
      <xdr:colOff>175270</xdr:colOff>
      <xdr:row>40</xdr:row>
      <xdr:rowOff>76035</xdr:rowOff>
    </xdr:to>
    <xdr:pic>
      <xdr:nvPicPr>
        <xdr:cNvPr id="17" name="Picture 16"/>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colorTemperature colorTemp="4700"/>
                  </a14:imgEffect>
                </a14:imgLayer>
              </a14:imgProps>
            </a:ext>
          </a:extLst>
        </a:blip>
        <a:srcRect l="2115" t="4472" r="1165" b="28935"/>
        <a:stretch/>
      </xdr:blipFill>
      <xdr:spPr>
        <a:xfrm>
          <a:off x="8982482" y="6634596"/>
          <a:ext cx="1194038" cy="1270989"/>
        </a:xfrm>
        <a:prstGeom prst="ellipse">
          <a:avLst/>
        </a:prstGeom>
        <a:ln>
          <a:noFill/>
        </a:ln>
        <a:effectLst/>
      </xdr:spPr>
    </xdr:pic>
    <xdr:clientData/>
  </xdr:twoCellAnchor>
  <xdr:twoCellAnchor>
    <xdr:from>
      <xdr:col>3</xdr:col>
      <xdr:colOff>1902553</xdr:colOff>
      <xdr:row>34</xdr:row>
      <xdr:rowOff>5081</xdr:rowOff>
    </xdr:from>
    <xdr:to>
      <xdr:col>6</xdr:col>
      <xdr:colOff>138614</xdr:colOff>
      <xdr:row>40</xdr:row>
      <xdr:rowOff>126449</xdr:rowOff>
    </xdr:to>
    <xdr:pic>
      <xdr:nvPicPr>
        <xdr:cNvPr id="18" name="Picture 1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734" t="1363" r="2734" b="33724"/>
        <a:stretch/>
      </xdr:blipFill>
      <xdr:spPr>
        <a:xfrm>
          <a:off x="3845653" y="6691631"/>
          <a:ext cx="1188811" cy="1264368"/>
        </a:xfrm>
        <a:prstGeom prst="ellipse">
          <a:avLst/>
        </a:prstGeom>
        <a:ln>
          <a:noFill/>
        </a:ln>
        <a:effectLst/>
      </xdr:spPr>
    </xdr:pic>
    <xdr:clientData/>
  </xdr:twoCellAnchor>
  <xdr:twoCellAnchor>
    <xdr:from>
      <xdr:col>15</xdr:col>
      <xdr:colOff>682056</xdr:colOff>
      <xdr:row>41</xdr:row>
      <xdr:rowOff>58416</xdr:rowOff>
    </xdr:from>
    <xdr:to>
      <xdr:col>19</xdr:col>
      <xdr:colOff>309208</xdr:colOff>
      <xdr:row>46</xdr:row>
      <xdr:rowOff>48088</xdr:rowOff>
    </xdr:to>
    <xdr:sp macro="" textlink="">
      <xdr:nvSpPr>
        <xdr:cNvPr id="19" name="Text Box 37"/>
        <xdr:cNvSpPr txBox="1">
          <a:spLocks noChangeArrowheads="1"/>
        </xdr:cNvSpPr>
      </xdr:nvSpPr>
      <xdr:spPr bwMode="auto">
        <a:xfrm>
          <a:off x="10683306" y="8078466"/>
          <a:ext cx="1979827"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Martin Dinh</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Senior Product Manager</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+61 2 9227 0318</a:t>
          </a:r>
        </a:p>
        <a:p>
          <a:pPr algn="l" rtl="0">
            <a:lnSpc>
              <a:spcPts val="1000"/>
            </a:lnSpc>
            <a:defRPr sz="1000"/>
          </a:pPr>
          <a:r>
            <a:rPr lang="en-AU" sz="1000" b="0" i="0" u="none" strike="noStrike" baseline="0">
              <a:solidFill>
                <a:schemeClr val="accent1"/>
              </a:solidFill>
              <a:latin typeface="+mn-lt"/>
              <a:cs typeface="Arial" pitchFamily="34" charset="0"/>
            </a:rPr>
            <a:t>martin.dinh@asx.com.au </a:t>
          </a:r>
        </a:p>
      </xdr:txBody>
    </xdr:sp>
    <xdr:clientData/>
  </xdr:twoCellAnchor>
  <xdr:twoCellAnchor>
    <xdr:from>
      <xdr:col>18</xdr:col>
      <xdr:colOff>629737</xdr:colOff>
      <xdr:row>41</xdr:row>
      <xdr:rowOff>58417</xdr:rowOff>
    </xdr:from>
    <xdr:to>
      <xdr:col>21</xdr:col>
      <xdr:colOff>462722</xdr:colOff>
      <xdr:row>46</xdr:row>
      <xdr:rowOff>48089</xdr:rowOff>
    </xdr:to>
    <xdr:sp macro="" textlink="">
      <xdr:nvSpPr>
        <xdr:cNvPr id="20" name="Text Box 37"/>
        <xdr:cNvSpPr txBox="1">
          <a:spLocks noChangeArrowheads="1"/>
        </xdr:cNvSpPr>
      </xdr:nvSpPr>
      <xdr:spPr bwMode="auto">
        <a:xfrm>
          <a:off x="12193087" y="8078467"/>
          <a:ext cx="1995160"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Karen Trau</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800"/>
            </a:lnSpc>
            <a:defRPr sz="1000"/>
          </a:pPr>
          <a:r>
            <a:rPr lang="en-AU" sz="1000" b="0" i="0" u="none" strike="noStrike" baseline="0">
              <a:solidFill>
                <a:schemeClr val="accent1"/>
              </a:solidFill>
              <a:latin typeface="+mn-lt"/>
              <a:cs typeface="Arial" pitchFamily="34" charset="0"/>
            </a:rPr>
            <a:t>Product Manager</a:t>
          </a:r>
        </a:p>
        <a:p>
          <a:pPr algn="l" rtl="0">
            <a:lnSpc>
              <a:spcPts val="800"/>
            </a:lnSpc>
            <a:defRPr sz="1000"/>
          </a:pPr>
          <a:endParaRPr lang="en-AU" sz="1000" b="0" i="0" u="none" strike="noStrike" baseline="0">
            <a:solidFill>
              <a:schemeClr val="accent1"/>
            </a:solidFill>
            <a:latin typeface="+mn-lt"/>
            <a:cs typeface="Arial" pitchFamily="34" charset="0"/>
          </a:endParaRPr>
        </a:p>
        <a:p>
          <a:pPr algn="l" rtl="0">
            <a:lnSpc>
              <a:spcPts val="1000"/>
            </a:lnSpc>
            <a:defRPr sz="1000"/>
          </a:pPr>
          <a:r>
            <a:rPr lang="en-AU" sz="1000" b="0" i="0" u="none" strike="noStrike" baseline="0">
              <a:solidFill>
                <a:schemeClr val="accent1"/>
              </a:solidFill>
              <a:latin typeface="+mn-lt"/>
              <a:cs typeface="Arial" pitchFamily="34" charset="0"/>
            </a:rPr>
            <a:t> +61 2 9227 0254</a:t>
          </a:r>
        </a:p>
        <a:p>
          <a:pPr algn="l" rtl="0">
            <a:lnSpc>
              <a:spcPts val="1000"/>
            </a:lnSpc>
            <a:defRPr sz="1000"/>
          </a:pPr>
          <a:r>
            <a:rPr lang="en-AU" sz="1000" b="0" i="0" u="none" strike="noStrike" baseline="0">
              <a:solidFill>
                <a:schemeClr val="accent1"/>
              </a:solidFill>
              <a:latin typeface="+mn-lt"/>
              <a:cs typeface="Arial" pitchFamily="34" charset="0"/>
            </a:rPr>
            <a:t>karen.trau@asx.com.au </a:t>
          </a:r>
        </a:p>
      </xdr:txBody>
    </xdr:sp>
    <xdr:clientData/>
  </xdr:twoCellAnchor>
  <xdr:twoCellAnchor>
    <xdr:from>
      <xdr:col>15</xdr:col>
      <xdr:colOff>608292</xdr:colOff>
      <xdr:row>33</xdr:row>
      <xdr:rowOff>157783</xdr:rowOff>
    </xdr:from>
    <xdr:to>
      <xdr:col>18</xdr:col>
      <xdr:colOff>238869</xdr:colOff>
      <xdr:row>40</xdr:row>
      <xdr:rowOff>95272</xdr:rowOff>
    </xdr:to>
    <xdr:pic>
      <xdr:nvPicPr>
        <xdr:cNvPr id="21" name="Picture 20"/>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8838" t="4745" r="8790" b="39142"/>
        <a:stretch/>
      </xdr:blipFill>
      <xdr:spPr>
        <a:xfrm>
          <a:off x="10609542" y="6653833"/>
          <a:ext cx="1192677" cy="1270989"/>
        </a:xfrm>
        <a:prstGeom prst="ellipse">
          <a:avLst/>
        </a:prstGeom>
        <a:ln>
          <a:noFill/>
        </a:ln>
        <a:effectLst/>
      </xdr:spPr>
    </xdr:pic>
    <xdr:clientData/>
  </xdr:twoCellAnchor>
  <xdr:twoCellAnchor>
    <xdr:from>
      <xdr:col>18</xdr:col>
      <xdr:colOff>533161</xdr:colOff>
      <xdr:row>33</xdr:row>
      <xdr:rowOff>153587</xdr:rowOff>
    </xdr:from>
    <xdr:to>
      <xdr:col>20</xdr:col>
      <xdr:colOff>250824</xdr:colOff>
      <xdr:row>40</xdr:row>
      <xdr:rowOff>91076</xdr:rowOff>
    </xdr:to>
    <xdr:pic>
      <xdr:nvPicPr>
        <xdr:cNvPr id="22" name="Picture 21"/>
        <xdr:cNvPicPr>
          <a:picLocks noChangeAspect="1"/>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colorTemperature colorTemp="4700"/>
                  </a14:imgEffect>
                </a14:imgLayer>
              </a14:imgProps>
            </a:ext>
            <a:ext uri="{28A0092B-C50C-407E-A947-70E740481C1C}">
              <a14:useLocalDpi xmlns:a14="http://schemas.microsoft.com/office/drawing/2010/main" val="0"/>
            </a:ext>
          </a:extLst>
        </a:blip>
        <a:srcRect l="7884" t="2815" r="12102" b="42247"/>
        <a:stretch/>
      </xdr:blipFill>
      <xdr:spPr>
        <a:xfrm>
          <a:off x="12096511" y="6649637"/>
          <a:ext cx="1194038" cy="1270989"/>
        </a:xfrm>
        <a:prstGeom prst="ellipse">
          <a:avLst/>
        </a:prstGeom>
        <a:ln>
          <a:noFill/>
        </a:ln>
        <a:effectLst/>
      </xdr:spPr>
    </xdr:pic>
    <xdr:clientData/>
  </xdr:twoCellAnchor>
  <xdr:twoCellAnchor>
    <xdr:from>
      <xdr:col>6</xdr:col>
      <xdr:colOff>503964</xdr:colOff>
      <xdr:row>41</xdr:row>
      <xdr:rowOff>36027</xdr:rowOff>
    </xdr:from>
    <xdr:to>
      <xdr:col>9</xdr:col>
      <xdr:colOff>52010</xdr:colOff>
      <xdr:row>46</xdr:row>
      <xdr:rowOff>25699</xdr:rowOff>
    </xdr:to>
    <xdr:sp macro="" textlink="">
      <xdr:nvSpPr>
        <xdr:cNvPr id="23" name="Text Box 37"/>
        <xdr:cNvSpPr txBox="1">
          <a:spLocks noChangeArrowheads="1"/>
        </xdr:cNvSpPr>
      </xdr:nvSpPr>
      <xdr:spPr bwMode="auto">
        <a:xfrm>
          <a:off x="5399814" y="8056077"/>
          <a:ext cx="1881671" cy="942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000" b="1" i="0" u="none" strike="noStrike" baseline="0">
              <a:solidFill>
                <a:schemeClr val="accent1"/>
              </a:solidFill>
              <a:latin typeface="+mn-lt"/>
              <a:cs typeface="Arial" pitchFamily="34" charset="0"/>
            </a:rPr>
            <a:t>Rory Cunningham</a:t>
          </a:r>
        </a:p>
        <a:p>
          <a:pPr algn="l" rtl="0">
            <a:lnSpc>
              <a:spcPts val="900"/>
            </a:lnSpc>
            <a:defRPr sz="1000"/>
          </a:pPr>
          <a:endParaRPr lang="en-AU" sz="1000" b="0" i="0" u="none" strike="noStrike" baseline="0">
            <a:solidFill>
              <a:schemeClr val="accent1"/>
            </a:solidFill>
            <a:latin typeface="+mn-lt"/>
            <a:cs typeface="Arial" pitchFamily="34" charset="0"/>
          </a:endParaRPr>
        </a:p>
        <a:p>
          <a:pPr algn="l" rtl="0">
            <a:lnSpc>
              <a:spcPts val="900"/>
            </a:lnSpc>
            <a:defRPr sz="1000"/>
          </a:pPr>
          <a:r>
            <a:rPr lang="en-AU" sz="1000" b="0" i="0" u="none" strike="noStrike" baseline="0">
              <a:solidFill>
                <a:schemeClr val="accent1"/>
              </a:solidFill>
              <a:latin typeface="+mn-lt"/>
              <a:cs typeface="Arial" pitchFamily="34" charset="0"/>
            </a:rPr>
            <a:t>Senior Manager, </a:t>
          </a:r>
        </a:p>
        <a:p>
          <a:pPr algn="l" rtl="0">
            <a:lnSpc>
              <a:spcPts val="900"/>
            </a:lnSpc>
            <a:defRPr sz="1000"/>
          </a:pPr>
          <a:r>
            <a:rPr lang="en-AU" sz="1000" b="0" i="0" u="none" strike="noStrike" baseline="0">
              <a:solidFill>
                <a:schemeClr val="accent1"/>
              </a:solidFill>
              <a:latin typeface="+mn-lt"/>
              <a:cs typeface="Arial" pitchFamily="34" charset="0"/>
            </a:rPr>
            <a:t>Investment Products</a:t>
          </a:r>
        </a:p>
        <a:p>
          <a:pPr algn="l" rtl="0">
            <a:lnSpc>
              <a:spcPts val="1000"/>
            </a:lnSpc>
            <a:defRPr sz="1000"/>
          </a:pPr>
          <a:r>
            <a:rPr lang="en-AU" sz="1000" b="0" i="0" u="none" strike="noStrike" baseline="0">
              <a:solidFill>
                <a:schemeClr val="accent1"/>
              </a:solidFill>
              <a:latin typeface="+mn-lt"/>
              <a:cs typeface="Arial" pitchFamily="34" charset="0"/>
            </a:rPr>
            <a:t> +61 2 9227 0171</a:t>
          </a:r>
        </a:p>
        <a:p>
          <a:pPr algn="l" rtl="0">
            <a:lnSpc>
              <a:spcPts val="1000"/>
            </a:lnSpc>
            <a:defRPr sz="1000"/>
          </a:pPr>
          <a:r>
            <a:rPr lang="en-AU" sz="1000" b="0" i="0" u="none" strike="noStrike" baseline="0">
              <a:solidFill>
                <a:schemeClr val="accent1"/>
              </a:solidFill>
              <a:latin typeface="+mn-lt"/>
              <a:cs typeface="Arial" pitchFamily="34" charset="0"/>
            </a:rPr>
            <a:t>rory.cunningham@asx.com.au </a:t>
          </a:r>
        </a:p>
      </xdr:txBody>
    </xdr:sp>
    <xdr:clientData/>
  </xdr:twoCellAnchor>
  <xdr:twoCellAnchor>
    <xdr:from>
      <xdr:col>3</xdr:col>
      <xdr:colOff>181115</xdr:colOff>
      <xdr:row>33</xdr:row>
      <xdr:rowOff>172287</xdr:rowOff>
    </xdr:from>
    <xdr:to>
      <xdr:col>3</xdr:col>
      <xdr:colOff>1378090</xdr:colOff>
      <xdr:row>40</xdr:row>
      <xdr:rowOff>108598</xdr:rowOff>
    </xdr:to>
    <xdr:pic>
      <xdr:nvPicPr>
        <xdr:cNvPr id="24" name="Picture 23"/>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6620" t="5508" r="8869" b="35057"/>
        <a:stretch/>
      </xdr:blipFill>
      <xdr:spPr>
        <a:xfrm>
          <a:off x="2124215" y="6668337"/>
          <a:ext cx="1196975" cy="1269811"/>
        </a:xfrm>
        <a:prstGeom prst="ellipse">
          <a:avLst/>
        </a:prstGeom>
        <a:ln>
          <a:noFill/>
        </a:ln>
        <a:effectLst/>
      </xdr:spPr>
    </xdr:pic>
    <xdr:clientData/>
  </xdr:twoCellAnchor>
  <xdr:twoCellAnchor>
    <xdr:from>
      <xdr:col>6</xdr:col>
      <xdr:colOff>618727</xdr:colOff>
      <xdr:row>34</xdr:row>
      <xdr:rowOff>7258</xdr:rowOff>
    </xdr:from>
    <xdr:to>
      <xdr:col>8</xdr:col>
      <xdr:colOff>301083</xdr:colOff>
      <xdr:row>40</xdr:row>
      <xdr:rowOff>124996</xdr:rowOff>
    </xdr:to>
    <xdr:pic>
      <xdr:nvPicPr>
        <xdr:cNvPr id="25" name="Picture 24"/>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798" b="30535"/>
        <a:stretch/>
      </xdr:blipFill>
      <xdr:spPr>
        <a:xfrm>
          <a:off x="5514577" y="6693808"/>
          <a:ext cx="1206356" cy="1260738"/>
        </a:xfrm>
        <a:prstGeom prst="ellipse">
          <a:avLst/>
        </a:prstGeom>
        <a:ln>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X_Investment_Products_June_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Month Update"/>
      <sheetName val="Trends"/>
      <sheetName val="Spotlight ETPs"/>
      <sheetName val="Spotlight mFund"/>
      <sheetName val="Spotlight LICs"/>
      <sheetName val="Spotlight A-REITS"/>
      <sheetName val="Spotlight Infra"/>
      <sheetName val="Spotlight mFund Client"/>
      <sheetName val="mFund Branding"/>
      <sheetName val="Spotlight ETP List"/>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ETF List"/>
      <sheetName val="MFSA List"/>
      <sheetName val="mFund List"/>
      <sheetName val="LIC List"/>
      <sheetName val="REIT Infra List"/>
      <sheetName val="IRESS"/>
      <sheetName val="Indices"/>
      <sheetName val="Spreads"/>
      <sheetName val="Old (keep)"/>
      <sheetName val="Morningstar"/>
      <sheetName val="FE"/>
      <sheetName val="NAV"/>
      <sheetName val="asset class database"/>
      <sheetName val="new database"/>
      <sheetName val="Info dbase mw"/>
    </sheetNames>
    <sheetDataSet>
      <sheetData sheetId="0">
        <row r="2">
          <cell r="K2">
            <v>43252</v>
          </cell>
        </row>
        <row r="4">
          <cell r="K4">
            <v>43280</v>
          </cell>
        </row>
        <row r="8">
          <cell r="K8">
            <v>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sheetData>
      <sheetData sheetId="17">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sheetData>
      <sheetData sheetId="18">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sheetData>
      <sheetData sheetId="19">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sheetData>
      <sheetData sheetId="20">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sheetData>
      <sheetData sheetId="21">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sheetData>
      <sheetData sheetId="22">
        <row r="2">
          <cell r="C2" t="str">
            <v>Market Capitalisation</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C231">
            <v>15925059403.695004</v>
          </cell>
        </row>
        <row r="232">
          <cell r="C232">
            <v>16980444308.644003</v>
          </cell>
        </row>
        <row r="233">
          <cell r="C233">
            <v>17781602574.805008</v>
          </cell>
        </row>
        <row r="234">
          <cell r="C234">
            <v>17986274313.069996</v>
          </cell>
        </row>
        <row r="235">
          <cell r="C235">
            <v>18758276524.913006</v>
          </cell>
        </row>
        <row r="236">
          <cell r="C236">
            <v>18468853150.647007</v>
          </cell>
        </row>
        <row r="237">
          <cell r="C237">
            <v>19865152794.217003</v>
          </cell>
        </row>
        <row r="238">
          <cell r="C238">
            <v>19239517331.697006</v>
          </cell>
        </row>
        <row r="239">
          <cell r="C239">
            <v>19321110583.027</v>
          </cell>
        </row>
        <row r="240">
          <cell r="C240">
            <v>20659348230.976997</v>
          </cell>
        </row>
        <row r="241">
          <cell r="C241">
            <v>20952750838.980003</v>
          </cell>
        </row>
        <row r="242">
          <cell r="C242">
            <v>21335248187.705006</v>
          </cell>
        </row>
        <row r="243">
          <cell r="C243">
            <v>20402819706.099998</v>
          </cell>
        </row>
        <row r="244">
          <cell r="C244">
            <v>20584720780.997005</v>
          </cell>
        </row>
        <row r="245">
          <cell r="C245">
            <v>21298608985.52</v>
          </cell>
        </row>
        <row r="246">
          <cell r="C246">
            <v>21804771086.274998</v>
          </cell>
        </row>
        <row r="247">
          <cell r="C247">
            <v>23161618589.93</v>
          </cell>
        </row>
        <row r="248">
          <cell r="C248">
            <v>22404353049.284996</v>
          </cell>
        </row>
        <row r="249">
          <cell r="C249">
            <v>23286495495.465</v>
          </cell>
        </row>
        <row r="250">
          <cell r="C250">
            <v>23509302612.870007</v>
          </cell>
        </row>
        <row r="251">
          <cell r="C251">
            <v>24004096803.289997</v>
          </cell>
        </row>
        <row r="252">
          <cell r="C252">
            <v>23951930602.560001</v>
          </cell>
        </row>
        <row r="253">
          <cell r="C253">
            <v>24566870111.099998</v>
          </cell>
        </row>
        <row r="254">
          <cell r="C254">
            <v>25628516486.145004</v>
          </cell>
        </row>
        <row r="255">
          <cell r="C255">
            <v>25100498926.840008</v>
          </cell>
        </row>
        <row r="256">
          <cell r="C256">
            <v>25996567239.320004</v>
          </cell>
        </row>
        <row r="257">
          <cell r="C257">
            <v>27247763481.200001</v>
          </cell>
        </row>
        <row r="258">
          <cell r="C258">
            <v>28122533485.974995</v>
          </cell>
        </row>
        <row r="259">
          <cell r="C259">
            <v>28867448590.855003</v>
          </cell>
        </row>
        <row r="260">
          <cell r="C260">
            <v>29264748096.570004</v>
          </cell>
        </row>
        <row r="261">
          <cell r="C261">
            <v>29840551375.70002</v>
          </cell>
        </row>
        <row r="262">
          <cell r="C262">
            <v>30672047456.590015</v>
          </cell>
        </row>
        <row r="263">
          <cell r="C263">
            <v>31746961471.889999</v>
          </cell>
        </row>
        <row r="264">
          <cell r="C264">
            <v>33235212265.035007</v>
          </cell>
        </row>
        <row r="265">
          <cell r="C265">
            <v>35246233518.43</v>
          </cell>
        </row>
        <row r="266">
          <cell r="C266">
            <v>35694326359.799988</v>
          </cell>
        </row>
        <row r="267">
          <cell r="C267">
            <v>36271662048.649994</v>
          </cell>
        </row>
        <row r="268">
          <cell r="C268">
            <v>36606093022.379997</v>
          </cell>
        </row>
        <row r="269">
          <cell r="C269">
            <v>36312859380.890396</v>
          </cell>
        </row>
        <row r="270">
          <cell r="C270">
            <v>37615347838.099991</v>
          </cell>
        </row>
        <row r="271">
          <cell r="C271">
            <v>38144810220.209999</v>
          </cell>
        </row>
        <row r="272">
          <cell r="C272">
            <v>38871646952.754997</v>
          </cell>
        </row>
      </sheetData>
      <sheetData sheetId="23"/>
      <sheetData sheetId="24"/>
      <sheetData sheetId="25">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26"/>
      <sheetData sheetId="27">
        <row r="1">
          <cell r="A1" t="str">
            <v>ASX Code</v>
          </cell>
          <cell r="B1" t="str">
            <v xml:space="preserve">ETF Listed </v>
          </cell>
          <cell r="D1" t="str">
            <v>Index</v>
          </cell>
          <cell r="E1" t="str">
            <v>ASX Code</v>
          </cell>
          <cell r="F1" t="str">
            <v>MER</v>
          </cell>
          <cell r="G1" t="str">
            <v>Listing Date</v>
          </cell>
          <cell r="H1" t="str">
            <v>FUM</v>
          </cell>
          <cell r="I1" t="str">
            <v>Value Transacted</v>
          </cell>
          <cell r="J1" t="str">
            <v>Issuer</v>
          </cell>
          <cell r="K1" t="str">
            <v>Trades</v>
          </cell>
          <cell r="L1" t="str">
            <v>FUM Previous Month</v>
          </cell>
          <cell r="M1" t="str">
            <v>FUM Previous Month</v>
          </cell>
          <cell r="N1" t="str">
            <v>Change</v>
          </cell>
          <cell r="O1" t="str">
            <v>Price</v>
          </cell>
          <cell r="P1" t="str">
            <v>Units on Issue</v>
          </cell>
          <cell r="Q1" t="str">
            <v>Units Prev Month</v>
          </cell>
          <cell r="R1" t="str">
            <v>Units Inflow / Outflow</v>
          </cell>
        </row>
        <row r="2">
          <cell r="A2" t="str">
            <v>A200</v>
          </cell>
          <cell r="B2" t="str">
            <v>Betashares Australia 200 ETF</v>
          </cell>
          <cell r="C2" t="str">
            <v>Equity - Australia</v>
          </cell>
          <cell r="D2" t="str">
            <v>Solactive Australia 200 Index</v>
          </cell>
          <cell r="E2" t="str">
            <v>A200</v>
          </cell>
          <cell r="F2">
            <v>7.0000000000000007E-2</v>
          </cell>
          <cell r="G2">
            <v>43228</v>
          </cell>
          <cell r="H2">
            <v>49640640.700000003</v>
          </cell>
          <cell r="I2">
            <v>11508828.51</v>
          </cell>
          <cell r="J2" t="str">
            <v>BetaShares</v>
          </cell>
          <cell r="K2">
            <v>386</v>
          </cell>
          <cell r="L2">
            <v>47892967.5</v>
          </cell>
          <cell r="M2">
            <v>47892967.5</v>
          </cell>
          <cell r="N2">
            <v>1747673.200000003</v>
          </cell>
          <cell r="O2">
            <v>103.39</v>
          </cell>
          <cell r="P2">
            <v>480130</v>
          </cell>
          <cell r="Q2">
            <v>480130</v>
          </cell>
          <cell r="R2">
            <v>0</v>
          </cell>
        </row>
        <row r="3">
          <cell r="A3" t="str">
            <v>AAA</v>
          </cell>
          <cell r="B3" t="str">
            <v>Betashares Australian High Interest Cash ETF</v>
          </cell>
          <cell r="C3" t="str">
            <v>Fixed Income - Australia</v>
          </cell>
          <cell r="D3" t="str">
            <v>30 Day BBSW</v>
          </cell>
          <cell r="E3" t="str">
            <v>AAA</v>
          </cell>
          <cell r="F3">
            <v>0.18</v>
          </cell>
          <cell r="G3">
            <v>40975</v>
          </cell>
          <cell r="H3">
            <v>1310723108.0999999</v>
          </cell>
          <cell r="I3">
            <v>240563708.22999996</v>
          </cell>
          <cell r="J3" t="str">
            <v>BetaShares</v>
          </cell>
          <cell r="K3">
            <v>2015</v>
          </cell>
          <cell r="L3">
            <v>1287742983.1199999</v>
          </cell>
          <cell r="M3">
            <v>1287742983.1199999</v>
          </cell>
          <cell r="N3">
            <v>22980124.980000019</v>
          </cell>
          <cell r="O3">
            <v>50.15</v>
          </cell>
          <cell r="P3">
            <v>26136054</v>
          </cell>
          <cell r="Q3">
            <v>25672707</v>
          </cell>
          <cell r="R3">
            <v>23236852.050000001</v>
          </cell>
        </row>
        <row r="4">
          <cell r="A4" t="str">
            <v>AOD</v>
          </cell>
          <cell r="B4" t="str">
            <v>Aurora Dividend Income Trust</v>
          </cell>
          <cell r="C4" t="str">
            <v>Equity - Australia</v>
          </cell>
          <cell r="D4" t="str">
            <v>S&amp;P/ASX 200 Accumulation Index plus franking credits</v>
          </cell>
          <cell r="E4" t="str">
            <v>AOD</v>
          </cell>
          <cell r="F4">
            <v>0.97375</v>
          </cell>
          <cell r="G4">
            <v>38673</v>
          </cell>
          <cell r="H4">
            <v>6929291.6449999996</v>
          </cell>
          <cell r="I4">
            <v>74451.395000000004</v>
          </cell>
          <cell r="J4" t="str">
            <v>Aurora</v>
          </cell>
          <cell r="K4">
            <v>15</v>
          </cell>
          <cell r="L4">
            <v>7290114.9299999997</v>
          </cell>
          <cell r="M4">
            <v>7290114.9299999997</v>
          </cell>
          <cell r="N4">
            <v>-360823.28500000015</v>
          </cell>
          <cell r="O4">
            <v>0.56499999999999995</v>
          </cell>
          <cell r="P4">
            <v>12264233</v>
          </cell>
          <cell r="Q4">
            <v>12252294</v>
          </cell>
          <cell r="R4">
            <v>6745.5349999999989</v>
          </cell>
        </row>
        <row r="5">
          <cell r="A5" t="str">
            <v>AUDS</v>
          </cell>
          <cell r="B5" t="str">
            <v>BetaShares Strong Australian Dollar Fund (Hedge Fund)</v>
          </cell>
          <cell r="C5" t="str">
            <v>Currency</v>
          </cell>
          <cell r="E5" t="str">
            <v>AUDS</v>
          </cell>
          <cell r="F5">
            <v>1.38</v>
          </cell>
          <cell r="G5">
            <v>42759</v>
          </cell>
          <cell r="H5">
            <v>4194000</v>
          </cell>
          <cell r="I5">
            <v>3154752.93</v>
          </cell>
          <cell r="J5" t="str">
            <v>BetaShares</v>
          </cell>
          <cell r="K5">
            <v>59</v>
          </cell>
          <cell r="L5">
            <v>2976000</v>
          </cell>
          <cell r="M5">
            <v>2976000</v>
          </cell>
          <cell r="N5">
            <v>1218000</v>
          </cell>
          <cell r="O5">
            <v>13.98</v>
          </cell>
          <cell r="P5">
            <v>300000</v>
          </cell>
          <cell r="Q5">
            <v>200000</v>
          </cell>
          <cell r="R5">
            <v>1398000</v>
          </cell>
        </row>
        <row r="6">
          <cell r="A6" t="str">
            <v>AUMF</v>
          </cell>
          <cell r="B6" t="str">
            <v>iShares Edge MSCI Australia Multifactor ETF</v>
          </cell>
          <cell r="C6" t="str">
            <v>Equity - Australia</v>
          </cell>
          <cell r="D6" t="str">
            <v>MSCI Australia IMI Diversified Multiple-Factor Index</v>
          </cell>
          <cell r="E6" t="str">
            <v>AUMF</v>
          </cell>
          <cell r="F6">
            <v>0.3</v>
          </cell>
          <cell r="G6">
            <v>42657</v>
          </cell>
          <cell r="H6">
            <v>9550969.75</v>
          </cell>
          <cell r="I6">
            <v>568109.68999999994</v>
          </cell>
          <cell r="J6" t="str">
            <v>iShares</v>
          </cell>
          <cell r="K6">
            <v>19</v>
          </cell>
          <cell r="L6">
            <v>9290926.540000001</v>
          </cell>
          <cell r="M6">
            <v>9290926.540000001</v>
          </cell>
          <cell r="N6">
            <v>260043.20999999903</v>
          </cell>
          <cell r="O6">
            <v>29.75</v>
          </cell>
          <cell r="P6">
            <v>321041</v>
          </cell>
          <cell r="Q6">
            <v>321041</v>
          </cell>
          <cell r="R6">
            <v>0</v>
          </cell>
        </row>
        <row r="7">
          <cell r="A7" t="str">
            <v>AUST</v>
          </cell>
          <cell r="B7" t="str">
            <v>BetaShares Managed Risk Australian Share Fund (Managed Fund)</v>
          </cell>
          <cell r="C7" t="str">
            <v>Equity - Global</v>
          </cell>
          <cell r="E7" t="str">
            <v>AUST</v>
          </cell>
          <cell r="F7">
            <v>0.49</v>
          </cell>
          <cell r="G7">
            <v>42318</v>
          </cell>
          <cell r="H7">
            <v>21706334.550000001</v>
          </cell>
          <cell r="I7">
            <v>1145113.72</v>
          </cell>
          <cell r="J7" t="str">
            <v>BetaShares</v>
          </cell>
          <cell r="K7">
            <v>55</v>
          </cell>
          <cell r="L7">
            <v>25849438.439999998</v>
          </cell>
          <cell r="M7">
            <v>25849438.439999998</v>
          </cell>
          <cell r="N7">
            <v>-4143103.8899999969</v>
          </cell>
          <cell r="O7">
            <v>16.55</v>
          </cell>
          <cell r="P7">
            <v>1311561</v>
          </cell>
          <cell r="Q7">
            <v>1611561</v>
          </cell>
          <cell r="R7">
            <v>-4965000</v>
          </cell>
        </row>
        <row r="8">
          <cell r="A8" t="str">
            <v>BBOZ</v>
          </cell>
          <cell r="B8" t="str">
            <v>BetaShares Australian Strong Bear (Hedge Fund)</v>
          </cell>
          <cell r="C8" t="str">
            <v>Equity - Australia</v>
          </cell>
          <cell r="D8" t="str">
            <v xml:space="preserve">S&amp;P/ASX 200 </v>
          </cell>
          <cell r="E8" t="str">
            <v>BBOZ</v>
          </cell>
          <cell r="F8">
            <v>1.38</v>
          </cell>
          <cell r="G8">
            <v>42114</v>
          </cell>
          <cell r="H8">
            <v>89245000</v>
          </cell>
          <cell r="I8">
            <v>40944734.639999993</v>
          </cell>
          <cell r="J8" t="str">
            <v>BetaShares</v>
          </cell>
          <cell r="K8">
            <v>1695</v>
          </cell>
          <cell r="L8">
            <v>93000000</v>
          </cell>
          <cell r="M8">
            <v>93000000</v>
          </cell>
          <cell r="N8">
            <v>-3755000</v>
          </cell>
          <cell r="O8">
            <v>13.73</v>
          </cell>
          <cell r="P8">
            <v>6500000</v>
          </cell>
          <cell r="Q8">
            <v>6250000</v>
          </cell>
          <cell r="R8">
            <v>3432500</v>
          </cell>
        </row>
        <row r="9">
          <cell r="A9" t="str">
            <v>BBUS</v>
          </cell>
          <cell r="B9" t="str">
            <v>BetaShares US Equities Strong Bear Currency Hedged (Hedge Fund)</v>
          </cell>
          <cell r="C9" t="str">
            <v>Equity - Global</v>
          </cell>
          <cell r="D9" t="str">
            <v>S&amp;P 500 Hedged AUD</v>
          </cell>
          <cell r="E9" t="str">
            <v>BBUS</v>
          </cell>
          <cell r="F9">
            <v>1.38</v>
          </cell>
          <cell r="G9">
            <v>42242</v>
          </cell>
          <cell r="H9">
            <v>59228250</v>
          </cell>
          <cell r="I9">
            <v>19144807.980000004</v>
          </cell>
          <cell r="J9" t="str">
            <v>BetaShares</v>
          </cell>
          <cell r="K9">
            <v>1002</v>
          </cell>
          <cell r="L9">
            <v>56165999.999999993</v>
          </cell>
          <cell r="M9">
            <v>56165999.999999993</v>
          </cell>
          <cell r="N9">
            <v>3062250.0000000075</v>
          </cell>
          <cell r="O9">
            <v>5.03</v>
          </cell>
          <cell r="P9">
            <v>11775000</v>
          </cell>
          <cell r="Q9">
            <v>11100000</v>
          </cell>
          <cell r="R9">
            <v>3395250</v>
          </cell>
        </row>
        <row r="10">
          <cell r="A10" t="str">
            <v>BEAR</v>
          </cell>
          <cell r="B10" t="str">
            <v>BetaShares Australian Equities Bear (Hedge Fund)</v>
          </cell>
          <cell r="C10" t="str">
            <v>Equity - Australia</v>
          </cell>
          <cell r="D10" t="str">
            <v xml:space="preserve">S&amp;P/ASX 200 </v>
          </cell>
          <cell r="E10" t="str">
            <v>BEAR</v>
          </cell>
          <cell r="F10">
            <v>1.38</v>
          </cell>
          <cell r="G10">
            <v>41099</v>
          </cell>
          <cell r="H10">
            <v>51195885.509999998</v>
          </cell>
          <cell r="I10">
            <v>11329900.839999998</v>
          </cell>
          <cell r="J10" t="str">
            <v>BetaShares</v>
          </cell>
          <cell r="K10">
            <v>528</v>
          </cell>
          <cell r="L10">
            <v>50994935.009999998</v>
          </cell>
          <cell r="M10">
            <v>50994935.009999998</v>
          </cell>
          <cell r="N10">
            <v>200950.5</v>
          </cell>
          <cell r="O10">
            <v>13.49</v>
          </cell>
          <cell r="P10">
            <v>3795099</v>
          </cell>
          <cell r="Q10">
            <v>3645099</v>
          </cell>
          <cell r="R10">
            <v>2023500</v>
          </cell>
        </row>
        <row r="11">
          <cell r="A11" t="str">
            <v>BILL</v>
          </cell>
          <cell r="B11" t="str">
            <v>iShares Core Cash ETF</v>
          </cell>
          <cell r="C11" t="str">
            <v>Fixed Income - Australia</v>
          </cell>
          <cell r="D11" t="str">
            <v>S&amp;P/ASX Bank Bill Index</v>
          </cell>
          <cell r="E11" t="str">
            <v>BILL</v>
          </cell>
          <cell r="F11">
            <v>7.0000000000000007E-2</v>
          </cell>
          <cell r="G11">
            <v>42892</v>
          </cell>
          <cell r="H11">
            <v>197038030.21000001</v>
          </cell>
          <cell r="I11">
            <v>10978012.140000004</v>
          </cell>
          <cell r="J11" t="str">
            <v>iShares</v>
          </cell>
          <cell r="K11">
            <v>550</v>
          </cell>
          <cell r="L11">
            <v>191037269.28</v>
          </cell>
          <cell r="M11">
            <v>191037269.28</v>
          </cell>
          <cell r="N11">
            <v>6000760.9300000072</v>
          </cell>
          <cell r="O11">
            <v>100.31</v>
          </cell>
          <cell r="P11">
            <v>1964291</v>
          </cell>
          <cell r="Q11">
            <v>1904279.0000000002</v>
          </cell>
          <cell r="R11">
            <v>6019803.7199999765</v>
          </cell>
        </row>
        <row r="12">
          <cell r="A12" t="str">
            <v>BNKS</v>
          </cell>
          <cell r="B12" t="str">
            <v>BetaShares Global Banks ETF - Currency Hedged</v>
          </cell>
          <cell r="C12" t="str">
            <v>Equity - Global</v>
          </cell>
          <cell r="D12" t="str">
            <v>Nasdaq Global ex-Australia Banks Hedged AUD Index</v>
          </cell>
          <cell r="E12" t="str">
            <v>BNKS</v>
          </cell>
          <cell r="F12">
            <v>0.56999999999999995</v>
          </cell>
          <cell r="G12">
            <v>42583</v>
          </cell>
          <cell r="H12">
            <v>71787738</v>
          </cell>
          <cell r="I12">
            <v>10974190.490000002</v>
          </cell>
          <cell r="J12" t="str">
            <v>BetaShares</v>
          </cell>
          <cell r="K12">
            <v>420</v>
          </cell>
          <cell r="L12">
            <v>74076622.400000006</v>
          </cell>
          <cell r="M12">
            <v>74076622.400000006</v>
          </cell>
          <cell r="N12">
            <v>-2288884.400000006</v>
          </cell>
          <cell r="O12">
            <v>6.9</v>
          </cell>
          <cell r="P12">
            <v>10404020</v>
          </cell>
          <cell r="Q12">
            <v>10404020</v>
          </cell>
          <cell r="R12">
            <v>0</v>
          </cell>
        </row>
        <row r="13">
          <cell r="A13" t="str">
            <v>BOND</v>
          </cell>
          <cell r="B13" t="str">
            <v>SPDR S&amp;P/ASX Australian Bond Fund</v>
          </cell>
          <cell r="C13" t="str">
            <v>Fixed Income - Australia</v>
          </cell>
          <cell r="D13" t="str">
            <v>S&amp;P/ASX Australian Fixed Interest Index</v>
          </cell>
          <cell r="E13" t="str">
            <v>BOND</v>
          </cell>
          <cell r="F13">
            <v>0.24</v>
          </cell>
          <cell r="G13">
            <v>41117</v>
          </cell>
          <cell r="H13">
            <v>23482829.879999999</v>
          </cell>
          <cell r="I13">
            <v>1302209.4399999997</v>
          </cell>
          <cell r="J13" t="str">
            <v>StateStreet</v>
          </cell>
          <cell r="K13">
            <v>40</v>
          </cell>
          <cell r="L13">
            <v>23556099.239999998</v>
          </cell>
          <cell r="M13">
            <v>23556099.239999998</v>
          </cell>
          <cell r="N13">
            <v>-73269.359999999404</v>
          </cell>
          <cell r="O13">
            <v>25.64</v>
          </cell>
          <cell r="P13">
            <v>915866.99999999988</v>
          </cell>
          <cell r="Q13">
            <v>915867</v>
          </cell>
          <cell r="R13">
            <v>-2.9848888516426087E-9</v>
          </cell>
        </row>
        <row r="14">
          <cell r="A14" t="str">
            <v>CETF</v>
          </cell>
          <cell r="B14" t="str">
            <v>VanEck Vectors ChinaAMC A-Share ETF</v>
          </cell>
          <cell r="C14" t="str">
            <v>Equity - Global</v>
          </cell>
          <cell r="D14" t="str">
            <v>Interest Index</v>
          </cell>
          <cell r="E14" t="str">
            <v>CETF</v>
          </cell>
          <cell r="F14">
            <v>0.72</v>
          </cell>
          <cell r="G14">
            <v>42181</v>
          </cell>
          <cell r="H14">
            <v>10143601</v>
          </cell>
          <cell r="I14">
            <v>1843880.2200000002</v>
          </cell>
          <cell r="J14" t="str">
            <v>VanEck</v>
          </cell>
          <cell r="K14">
            <v>165</v>
          </cell>
          <cell r="L14">
            <v>10247268.24</v>
          </cell>
          <cell r="M14">
            <v>10247268.24</v>
          </cell>
          <cell r="N14">
            <v>-103667.24000000022</v>
          </cell>
          <cell r="O14">
            <v>55.75</v>
          </cell>
          <cell r="P14">
            <v>181948</v>
          </cell>
          <cell r="Q14">
            <v>166948</v>
          </cell>
          <cell r="R14">
            <v>836250</v>
          </cell>
        </row>
        <row r="15">
          <cell r="A15" t="str">
            <v>CORE</v>
          </cell>
          <cell r="B15" t="str">
            <v>ETFS Global Core Infrastructure ETF</v>
          </cell>
          <cell r="C15" t="str">
            <v>Infrastructure</v>
          </cell>
          <cell r="D15" t="str">
            <v>Solactive Global Core Infrastructure Low Volatility Index</v>
          </cell>
          <cell r="E15" t="str">
            <v>CORE</v>
          </cell>
          <cell r="F15">
            <v>0.45</v>
          </cell>
          <cell r="G15">
            <v>42998</v>
          </cell>
          <cell r="H15">
            <v>3175905.86</v>
          </cell>
          <cell r="I15">
            <v>58944.130000000005</v>
          </cell>
          <cell r="J15" t="str">
            <v>ETFS</v>
          </cell>
          <cell r="K15">
            <v>9</v>
          </cell>
          <cell r="L15">
            <v>3152505.08</v>
          </cell>
          <cell r="M15">
            <v>3152505.08</v>
          </cell>
          <cell r="N15">
            <v>23400.779999999795</v>
          </cell>
          <cell r="O15">
            <v>52.93</v>
          </cell>
          <cell r="P15">
            <v>60002</v>
          </cell>
          <cell r="Q15">
            <v>60002</v>
          </cell>
          <cell r="R15">
            <v>0</v>
          </cell>
        </row>
        <row r="16">
          <cell r="A16" t="str">
            <v>CRED</v>
          </cell>
          <cell r="B16" t="str">
            <v>BetaShares Australian Investment Grade Bond ETF</v>
          </cell>
          <cell r="C16" t="str">
            <v>Fixed Income - Australia</v>
          </cell>
          <cell r="D16" t="str">
            <v>Solactive Australian Investment Grade Corporate Bond Index</v>
          </cell>
          <cell r="E16" t="str">
            <v>CRED</v>
          </cell>
          <cell r="F16">
            <v>0.25</v>
          </cell>
          <cell r="G16">
            <v>43255</v>
          </cell>
          <cell r="H16">
            <v>4022400</v>
          </cell>
          <cell r="I16">
            <v>1971305.8099999998</v>
          </cell>
          <cell r="J16" t="str">
            <v>BetaShares</v>
          </cell>
          <cell r="K16">
            <v>74</v>
          </cell>
          <cell r="L16">
            <v>0</v>
          </cell>
          <cell r="M16">
            <v>0</v>
          </cell>
          <cell r="N16">
            <v>4022400</v>
          </cell>
          <cell r="O16">
            <v>25.14</v>
          </cell>
          <cell r="P16">
            <v>160000</v>
          </cell>
          <cell r="Q16">
            <v>0</v>
          </cell>
          <cell r="R16">
            <v>4022400</v>
          </cell>
        </row>
        <row r="17">
          <cell r="A17" t="str">
            <v>DIV</v>
          </cell>
          <cell r="B17" t="str">
            <v>UBS IQ Morningstar Australia Dividend Yield ETF</v>
          </cell>
          <cell r="C17" t="str">
            <v>Equity - Australia</v>
          </cell>
          <cell r="D17" t="str">
            <v>UBS IQ Research Dividend Index</v>
          </cell>
          <cell r="E17" t="str">
            <v>DIV</v>
          </cell>
          <cell r="F17">
            <v>0.3</v>
          </cell>
          <cell r="G17">
            <v>41655</v>
          </cell>
          <cell r="H17">
            <v>11124123.040000001</v>
          </cell>
          <cell r="I17">
            <v>740850.62</v>
          </cell>
          <cell r="J17" t="str">
            <v>UBS</v>
          </cell>
          <cell r="K17">
            <v>25</v>
          </cell>
          <cell r="L17">
            <v>11954914.470000001</v>
          </cell>
          <cell r="M17">
            <v>11954914.470000001</v>
          </cell>
          <cell r="N17">
            <v>-830791.4299999997</v>
          </cell>
          <cell r="O17">
            <v>20.32</v>
          </cell>
          <cell r="P17">
            <v>547447</v>
          </cell>
          <cell r="Q17">
            <v>597447</v>
          </cell>
          <cell r="R17">
            <v>-1016000</v>
          </cell>
        </row>
        <row r="18">
          <cell r="A18" t="str">
            <v>DJRE</v>
          </cell>
          <cell r="B18" t="str">
            <v>SPDR Dow Jones Global Select Real Estate Fund</v>
          </cell>
          <cell r="C18" t="str">
            <v>Property - Global</v>
          </cell>
          <cell r="D18" t="str">
            <v>SPDR Dow Jones Global Select Real Estate Index</v>
          </cell>
          <cell r="E18" t="str">
            <v>DJRE</v>
          </cell>
          <cell r="F18">
            <v>0.5</v>
          </cell>
          <cell r="G18">
            <v>41582</v>
          </cell>
          <cell r="H18">
            <v>242482818.39999998</v>
          </cell>
          <cell r="I18">
            <v>10722677.814999999</v>
          </cell>
          <cell r="J18" t="str">
            <v>StateStreet</v>
          </cell>
          <cell r="K18">
            <v>915</v>
          </cell>
          <cell r="L18">
            <v>236141984</v>
          </cell>
          <cell r="M18">
            <v>236141984</v>
          </cell>
          <cell r="N18">
            <v>6340834.3999999762</v>
          </cell>
          <cell r="O18">
            <v>21.08</v>
          </cell>
          <cell r="P18">
            <v>11502980</v>
          </cell>
          <cell r="Q18">
            <v>11352980</v>
          </cell>
          <cell r="R18">
            <v>3161999.9999999995</v>
          </cell>
        </row>
        <row r="19">
          <cell r="A19" t="str">
            <v>DMKT</v>
          </cell>
          <cell r="B19" t="str">
            <v>AMP Capital Dynamic Markets Fund (Hedge Fund)</v>
          </cell>
          <cell r="C19" t="str">
            <v>Mixed</v>
          </cell>
          <cell r="E19" t="str">
            <v>DMKT</v>
          </cell>
          <cell r="F19">
            <v>0.5</v>
          </cell>
          <cell r="G19">
            <v>42585</v>
          </cell>
          <cell r="H19">
            <v>28852656.959999997</v>
          </cell>
          <cell r="I19">
            <v>865882.29999999981</v>
          </cell>
          <cell r="J19" t="str">
            <v>AMP Capital / BetaShares</v>
          </cell>
          <cell r="K19">
            <v>47</v>
          </cell>
          <cell r="L19">
            <v>29036497.520000003</v>
          </cell>
          <cell r="M19">
            <v>29036497.520000003</v>
          </cell>
          <cell r="N19">
            <v>-183840.56000000611</v>
          </cell>
          <cell r="O19">
            <v>2.63</v>
          </cell>
          <cell r="P19">
            <v>10970592</v>
          </cell>
          <cell r="Q19">
            <v>10834514</v>
          </cell>
          <cell r="R19">
            <v>357885.14</v>
          </cell>
        </row>
        <row r="20">
          <cell r="A20" t="str">
            <v>DRUG</v>
          </cell>
          <cell r="B20" t="str">
            <v>BetaShares Global Healthcare ETF - Currency Hedged</v>
          </cell>
          <cell r="C20" t="str">
            <v>Equity - Global</v>
          </cell>
          <cell r="D20" t="str">
            <v>Nasdaq Global ex-Australia Healthcare Hedged AUD Index</v>
          </cell>
          <cell r="E20" t="str">
            <v>DRUG</v>
          </cell>
          <cell r="F20">
            <v>0.57000000000000006</v>
          </cell>
          <cell r="G20">
            <v>42590</v>
          </cell>
          <cell r="H20">
            <v>24554511</v>
          </cell>
          <cell r="I20">
            <v>2565929.1200000006</v>
          </cell>
          <cell r="J20" t="str">
            <v>BetaShares</v>
          </cell>
          <cell r="K20">
            <v>116</v>
          </cell>
          <cell r="L20">
            <v>22242502</v>
          </cell>
          <cell r="M20">
            <v>22242502</v>
          </cell>
          <cell r="N20">
            <v>2312009</v>
          </cell>
          <cell r="O20">
            <v>5.58</v>
          </cell>
          <cell r="P20">
            <v>4400450</v>
          </cell>
          <cell r="Q20">
            <v>4000450.0000000005</v>
          </cell>
          <cell r="R20">
            <v>2231999.9999999972</v>
          </cell>
        </row>
        <row r="21">
          <cell r="A21" t="str">
            <v>EEU</v>
          </cell>
          <cell r="B21" t="str">
            <v>BetaShares Euro ETF</v>
          </cell>
          <cell r="C21" t="str">
            <v>Currency</v>
          </cell>
          <cell r="D21" t="str">
            <v>AUD/EUR</v>
          </cell>
          <cell r="E21" t="str">
            <v>EEU</v>
          </cell>
          <cell r="F21">
            <v>0.45</v>
          </cell>
          <cell r="G21">
            <v>40735</v>
          </cell>
          <cell r="H21">
            <v>8240400</v>
          </cell>
          <cell r="I21">
            <v>1477029.55</v>
          </cell>
          <cell r="J21" t="str">
            <v>BetaShares</v>
          </cell>
          <cell r="K21">
            <v>54</v>
          </cell>
          <cell r="L21">
            <v>8046000</v>
          </cell>
          <cell r="M21">
            <v>8046000</v>
          </cell>
          <cell r="N21">
            <v>194400</v>
          </cell>
          <cell r="O21">
            <v>15.26</v>
          </cell>
          <cell r="P21">
            <v>540000</v>
          </cell>
          <cell r="Q21">
            <v>540000</v>
          </cell>
          <cell r="R21">
            <v>0</v>
          </cell>
        </row>
        <row r="22">
          <cell r="A22" t="str">
            <v>EIGA</v>
          </cell>
          <cell r="B22" t="str">
            <v>eInvest Income Generator Fund (Managed Fund)</v>
          </cell>
          <cell r="C22" t="str">
            <v>Equity - Australia Strategy</v>
          </cell>
          <cell r="E22" t="str">
            <v>EIGA</v>
          </cell>
          <cell r="F22">
            <v>0.8</v>
          </cell>
          <cell r="G22">
            <v>43227</v>
          </cell>
          <cell r="H22">
            <v>17739791.370000001</v>
          </cell>
          <cell r="I22">
            <v>1238231.73</v>
          </cell>
          <cell r="J22" t="str">
            <v>Perennial</v>
          </cell>
          <cell r="K22">
            <v>36</v>
          </cell>
          <cell r="L22">
            <v>16803540.100000001</v>
          </cell>
          <cell r="M22">
            <v>16803540.100000001</v>
          </cell>
          <cell r="N22">
            <v>936251.26999999955</v>
          </cell>
          <cell r="O22">
            <v>4.13</v>
          </cell>
          <cell r="P22">
            <v>4295349</v>
          </cell>
          <cell r="Q22">
            <v>4221995</v>
          </cell>
          <cell r="R22">
            <v>302952.02</v>
          </cell>
        </row>
        <row r="23">
          <cell r="A23" t="str">
            <v>EINC</v>
          </cell>
          <cell r="B23" t="str">
            <v>BetaShares Legg Mason Equity Income Fund (Managed Fund)</v>
          </cell>
          <cell r="C23" t="str">
            <v>Equity - Australia</v>
          </cell>
          <cell r="E23" t="str">
            <v>EINC</v>
          </cell>
          <cell r="F23">
            <v>0.85</v>
          </cell>
          <cell r="G23">
            <v>43150</v>
          </cell>
          <cell r="H23">
            <v>12892175.279999999</v>
          </cell>
          <cell r="I23">
            <v>2437664.2799999998</v>
          </cell>
          <cell r="J23" t="str">
            <v>Legg Mason / BetaShares</v>
          </cell>
          <cell r="K23">
            <v>44</v>
          </cell>
          <cell r="L23">
            <v>10648752.360000001</v>
          </cell>
          <cell r="M23">
            <v>10648752.360000001</v>
          </cell>
          <cell r="N23">
            <v>2243422.9199999981</v>
          </cell>
          <cell r="O23">
            <v>8.2799999999999994</v>
          </cell>
          <cell r="P23">
            <v>1557026</v>
          </cell>
          <cell r="Q23">
            <v>1319548</v>
          </cell>
          <cell r="R23">
            <v>1966317.8399999999</v>
          </cell>
        </row>
        <row r="24">
          <cell r="A24" t="str">
            <v>EMKT</v>
          </cell>
          <cell r="B24" t="str">
            <v>Vaneck Vectors MSCI Multifactor Emerging Markets Equity ETF</v>
          </cell>
          <cell r="C24" t="str">
            <v>Equity - Global</v>
          </cell>
          <cell r="D24" t="str">
            <v>MSCI Emerging Markets Diversified Multiple-Factor Index (AUD)</v>
          </cell>
          <cell r="E24" t="str">
            <v>EMKT</v>
          </cell>
          <cell r="F24">
            <v>0.69</v>
          </cell>
          <cell r="G24">
            <v>43202</v>
          </cell>
          <cell r="H24">
            <v>3856000</v>
          </cell>
          <cell r="I24">
            <v>1821411.4100000001</v>
          </cell>
          <cell r="J24" t="str">
            <v>VanEck</v>
          </cell>
          <cell r="K24">
            <v>42</v>
          </cell>
          <cell r="L24">
            <v>4040000</v>
          </cell>
          <cell r="M24">
            <v>4040000</v>
          </cell>
          <cell r="N24">
            <v>-184000</v>
          </cell>
          <cell r="O24">
            <v>19.28</v>
          </cell>
          <cell r="P24">
            <v>0</v>
          </cell>
          <cell r="Q24">
            <v>0</v>
          </cell>
          <cell r="R24">
            <v>0</v>
          </cell>
        </row>
        <row r="25">
          <cell r="A25" t="str">
            <v>ESGI</v>
          </cell>
          <cell r="B25" t="str">
            <v>Vaneck Vectors MSCI International Sustainable Equity ETF</v>
          </cell>
          <cell r="C25" t="str">
            <v>Equity - Australia</v>
          </cell>
          <cell r="D25" t="str">
            <v>MSCI World ex Australia ex Fossil Fuel Select SRI and Low Carbon Capped Index</v>
          </cell>
          <cell r="E25" t="str">
            <v>ESGI</v>
          </cell>
          <cell r="F25">
            <v>0.55000000000000004</v>
          </cell>
          <cell r="G25">
            <v>43167</v>
          </cell>
          <cell r="H25">
            <v>4170000.0000000005</v>
          </cell>
          <cell r="I25">
            <v>3085332.4000000004</v>
          </cell>
          <cell r="J25" t="str">
            <v>VanEck</v>
          </cell>
          <cell r="K25">
            <v>45</v>
          </cell>
          <cell r="L25">
            <v>4115999.9999999995</v>
          </cell>
          <cell r="M25">
            <v>4115999.9999999995</v>
          </cell>
          <cell r="N25">
            <v>54000.000000000931</v>
          </cell>
          <cell r="O25">
            <v>20.85</v>
          </cell>
          <cell r="P25">
            <v>200000</v>
          </cell>
          <cell r="Q25">
            <v>200000</v>
          </cell>
          <cell r="R25">
            <v>0</v>
          </cell>
        </row>
        <row r="26">
          <cell r="A26" t="str">
            <v>ESTX</v>
          </cell>
          <cell r="B26" t="str">
            <v>ETFS EURO STOXX 50 ETF</v>
          </cell>
          <cell r="C26" t="str">
            <v>Equity - Global</v>
          </cell>
          <cell r="D26" t="str">
            <v>EURO STOXX 50</v>
          </cell>
          <cell r="E26" t="str">
            <v>ESTX</v>
          </cell>
          <cell r="F26">
            <v>0.35</v>
          </cell>
          <cell r="G26">
            <v>42572</v>
          </cell>
          <cell r="H26">
            <v>65022202.140000001</v>
          </cell>
          <cell r="I26">
            <v>9633125.1199999992</v>
          </cell>
          <cell r="J26" t="str">
            <v>ETFS</v>
          </cell>
          <cell r="K26">
            <v>267</v>
          </cell>
          <cell r="L26">
            <v>67049573.919999994</v>
          </cell>
          <cell r="M26">
            <v>67049573.919999994</v>
          </cell>
          <cell r="N26">
            <v>-2027371.7799999937</v>
          </cell>
          <cell r="O26">
            <v>62.22</v>
          </cell>
          <cell r="P26">
            <v>1045037</v>
          </cell>
          <cell r="Q26">
            <v>1045037</v>
          </cell>
          <cell r="R26">
            <v>0</v>
          </cell>
        </row>
        <row r="27">
          <cell r="A27" t="str">
            <v>ETF</v>
          </cell>
          <cell r="B27" t="str">
            <v>UBS IQ Morningstar Australia Quality ETF</v>
          </cell>
          <cell r="C27" t="str">
            <v>Equity - Australia</v>
          </cell>
          <cell r="D27" t="str">
            <v>UBS IQ Research Index</v>
          </cell>
          <cell r="E27" t="str">
            <v>ETF</v>
          </cell>
          <cell r="F27">
            <v>0.3</v>
          </cell>
          <cell r="G27">
            <v>41200</v>
          </cell>
          <cell r="H27">
            <v>8373853.1999999993</v>
          </cell>
          <cell r="I27">
            <v>276027.32</v>
          </cell>
          <cell r="J27" t="str">
            <v>UBS</v>
          </cell>
          <cell r="K27">
            <v>13</v>
          </cell>
          <cell r="L27">
            <v>8312280.75</v>
          </cell>
          <cell r="M27">
            <v>8312280.75</v>
          </cell>
          <cell r="N27">
            <v>61572.449999999255</v>
          </cell>
          <cell r="O27">
            <v>20.399999999999999</v>
          </cell>
          <cell r="P27">
            <v>410483</v>
          </cell>
          <cell r="Q27">
            <v>410483</v>
          </cell>
          <cell r="R27">
            <v>0</v>
          </cell>
        </row>
        <row r="28">
          <cell r="A28" t="str">
            <v>ETHI</v>
          </cell>
          <cell r="B28" t="str">
            <v>BetaShares Global Sustainability Leaders ETF</v>
          </cell>
          <cell r="C28" t="str">
            <v>Equity - Global</v>
          </cell>
          <cell r="D28" t="str">
            <v>Nasdaq Future Global Sustainability Leaders Index</v>
          </cell>
          <cell r="E28" t="str">
            <v>ETHI</v>
          </cell>
          <cell r="F28">
            <v>0.59</v>
          </cell>
          <cell r="G28">
            <v>42744</v>
          </cell>
          <cell r="H28">
            <v>210024360.16</v>
          </cell>
          <cell r="I28">
            <v>28061121.789999999</v>
          </cell>
          <cell r="J28" t="str">
            <v>BetaShares</v>
          </cell>
          <cell r="K28">
            <v>413</v>
          </cell>
          <cell r="L28">
            <v>187775575.96000001</v>
          </cell>
          <cell r="M28">
            <v>187775575.96000001</v>
          </cell>
          <cell r="N28">
            <v>22248784.199999988</v>
          </cell>
          <cell r="O28">
            <v>7.72</v>
          </cell>
          <cell r="P28">
            <v>27205228</v>
          </cell>
          <cell r="Q28">
            <v>24805228</v>
          </cell>
          <cell r="R28">
            <v>18528000</v>
          </cell>
        </row>
        <row r="29">
          <cell r="A29" t="str">
            <v>ETPMAG</v>
          </cell>
          <cell r="B29" t="str">
            <v xml:space="preserve">ETFS Physical Silver </v>
          </cell>
          <cell r="C29" t="str">
            <v xml:space="preserve">Commodity </v>
          </cell>
          <cell r="D29" t="str">
            <v>Silver</v>
          </cell>
          <cell r="E29" t="str">
            <v>ETPMAG</v>
          </cell>
          <cell r="F29">
            <v>0.49</v>
          </cell>
          <cell r="G29">
            <v>39843</v>
          </cell>
          <cell r="H29">
            <v>58491398.759999998</v>
          </cell>
          <cell r="I29">
            <v>2069546.88</v>
          </cell>
          <cell r="J29" t="str">
            <v>ETFS</v>
          </cell>
          <cell r="K29">
            <v>207</v>
          </cell>
          <cell r="L29">
            <v>58491398.759999998</v>
          </cell>
          <cell r="M29">
            <v>58491398.759999998</v>
          </cell>
          <cell r="N29">
            <v>0</v>
          </cell>
          <cell r="O29">
            <v>20.84</v>
          </cell>
          <cell r="P29">
            <v>2806689</v>
          </cell>
          <cell r="Q29">
            <v>2806689</v>
          </cell>
          <cell r="R29">
            <v>0</v>
          </cell>
        </row>
        <row r="30">
          <cell r="A30" t="str">
            <v>ETPMPD</v>
          </cell>
          <cell r="B30" t="str">
            <v>ETFS Physical Palladium</v>
          </cell>
          <cell r="C30" t="str">
            <v xml:space="preserve">Commodity </v>
          </cell>
          <cell r="D30" t="str">
            <v>Palladium</v>
          </cell>
          <cell r="E30" t="str">
            <v>ETPMPD</v>
          </cell>
          <cell r="F30">
            <v>0.49</v>
          </cell>
          <cell r="G30">
            <v>39843</v>
          </cell>
          <cell r="H30">
            <v>1119988.22</v>
          </cell>
          <cell r="I30">
            <v>37611.81</v>
          </cell>
          <cell r="J30" t="str">
            <v>ETFS</v>
          </cell>
          <cell r="K30">
            <v>7</v>
          </cell>
          <cell r="L30">
            <v>1262461.98</v>
          </cell>
          <cell r="M30">
            <v>1262461.98</v>
          </cell>
          <cell r="N30">
            <v>-142473.76</v>
          </cell>
          <cell r="O30">
            <v>124.54</v>
          </cell>
          <cell r="P30">
            <v>8993</v>
          </cell>
          <cell r="Q30">
            <v>10137</v>
          </cell>
          <cell r="R30">
            <v>-142473.76</v>
          </cell>
        </row>
        <row r="31">
          <cell r="A31" t="str">
            <v>ETPMPM</v>
          </cell>
          <cell r="B31" t="str">
            <v>ETFS Precious Metals Basket</v>
          </cell>
          <cell r="C31" t="str">
            <v xml:space="preserve">Commodity </v>
          </cell>
          <cell r="D31" t="str">
            <v>Basket of precious metals</v>
          </cell>
          <cell r="E31" t="str">
            <v>ETPMPM</v>
          </cell>
          <cell r="F31">
            <v>0.44</v>
          </cell>
          <cell r="G31">
            <v>39843</v>
          </cell>
          <cell r="H31">
            <v>5015778.96</v>
          </cell>
          <cell r="I31">
            <v>34894.53</v>
          </cell>
          <cell r="J31" t="str">
            <v>ETFS</v>
          </cell>
          <cell r="K31">
            <v>7</v>
          </cell>
          <cell r="L31">
            <v>5015778.96</v>
          </cell>
          <cell r="M31">
            <v>5015778.96</v>
          </cell>
          <cell r="N31">
            <v>0</v>
          </cell>
          <cell r="O31">
            <v>125.36</v>
          </cell>
          <cell r="P31">
            <v>40011</v>
          </cell>
          <cell r="Q31">
            <v>40011</v>
          </cell>
          <cell r="R31">
            <v>0</v>
          </cell>
        </row>
        <row r="32">
          <cell r="A32" t="str">
            <v>ETPMPT</v>
          </cell>
          <cell r="B32" t="str">
            <v>ETFS Physical Platinum</v>
          </cell>
          <cell r="C32" t="str">
            <v xml:space="preserve">Commodity </v>
          </cell>
          <cell r="D32" t="str">
            <v>Platinum</v>
          </cell>
          <cell r="E32" t="str">
            <v>ETPMPT</v>
          </cell>
          <cell r="F32">
            <v>0.49</v>
          </cell>
          <cell r="G32">
            <v>39843</v>
          </cell>
          <cell r="H32">
            <v>1136248.3999999999</v>
          </cell>
          <cell r="I32">
            <v>145376.23000000001</v>
          </cell>
          <cell r="J32" t="str">
            <v>ETFS</v>
          </cell>
          <cell r="K32">
            <v>79</v>
          </cell>
          <cell r="L32">
            <v>2892127.98</v>
          </cell>
          <cell r="M32">
            <v>2892127.98</v>
          </cell>
          <cell r="N32">
            <v>-1755879.58</v>
          </cell>
          <cell r="O32">
            <v>110.53</v>
          </cell>
          <cell r="P32">
            <v>10279.999999999998</v>
          </cell>
          <cell r="Q32">
            <v>26166</v>
          </cell>
          <cell r="R32">
            <v>-1755879.5800000003</v>
          </cell>
        </row>
        <row r="33">
          <cell r="A33" t="str">
            <v>EX20</v>
          </cell>
          <cell r="B33" t="str">
            <v>BetaShares Australian Ex-20 Portfolio Diversifier ETF</v>
          </cell>
          <cell r="C33" t="str">
            <v>Equity - Australia</v>
          </cell>
          <cell r="D33" t="str">
            <v>Nasdaq Australia Completion Cap Index</v>
          </cell>
          <cell r="E33" t="str">
            <v>EX20</v>
          </cell>
          <cell r="F33">
            <v>0.25</v>
          </cell>
          <cell r="G33">
            <v>42650</v>
          </cell>
          <cell r="H33">
            <v>36603722.129999995</v>
          </cell>
          <cell r="I33">
            <v>4504533.71</v>
          </cell>
          <cell r="J33" t="str">
            <v>BetaShares</v>
          </cell>
          <cell r="K33">
            <v>186</v>
          </cell>
          <cell r="L33">
            <v>32045073.629999999</v>
          </cell>
          <cell r="M33">
            <v>32045073.629999999</v>
          </cell>
          <cell r="N33">
            <v>4558648.4999999963</v>
          </cell>
          <cell r="O33">
            <v>18.29</v>
          </cell>
          <cell r="P33">
            <v>2001296.9999999998</v>
          </cell>
          <cell r="Q33">
            <v>1801297</v>
          </cell>
          <cell r="R33">
            <v>3657999.9999999953</v>
          </cell>
        </row>
        <row r="34">
          <cell r="A34" t="str">
            <v>FAIR</v>
          </cell>
          <cell r="B34" t="str">
            <v>BetaShares Australian Sustainability Leaders ETF</v>
          </cell>
          <cell r="C34" t="str">
            <v>Equity - Global</v>
          </cell>
          <cell r="D34" t="str">
            <v>Nasdaq Australian Sustainability Leaders Index</v>
          </cell>
          <cell r="E34" t="str">
            <v>FAIR</v>
          </cell>
          <cell r="F34">
            <v>0.49</v>
          </cell>
          <cell r="G34">
            <v>43068</v>
          </cell>
          <cell r="H34">
            <v>164182573.84</v>
          </cell>
          <cell r="I34">
            <v>41734986.980000004</v>
          </cell>
          <cell r="J34" t="str">
            <v>BetaShares</v>
          </cell>
          <cell r="K34">
            <v>290</v>
          </cell>
          <cell r="L34">
            <v>129065559.80000001</v>
          </cell>
          <cell r="M34">
            <v>129065559.80000001</v>
          </cell>
          <cell r="N34">
            <v>35117014.039999992</v>
          </cell>
          <cell r="O34">
            <v>15.94</v>
          </cell>
          <cell r="P34">
            <v>10300036</v>
          </cell>
          <cell r="Q34">
            <v>8300036</v>
          </cell>
          <cell r="R34">
            <v>31880000</v>
          </cell>
        </row>
        <row r="35">
          <cell r="A35" t="str">
            <v>FDIV</v>
          </cell>
          <cell r="B35" t="str">
            <v>VanEck Vectors S&amp;P/ASX Franked Dividend ETF</v>
          </cell>
          <cell r="C35" t="str">
            <v>Equity - Australia</v>
          </cell>
          <cell r="E35" t="str">
            <v>FDIV</v>
          </cell>
          <cell r="F35">
            <v>0.35</v>
          </cell>
          <cell r="G35">
            <v>42492</v>
          </cell>
          <cell r="H35">
            <v>3906593.34</v>
          </cell>
          <cell r="I35">
            <v>190992.25</v>
          </cell>
          <cell r="J35" t="str">
            <v>VanEck</v>
          </cell>
          <cell r="K35">
            <v>9</v>
          </cell>
          <cell r="L35">
            <v>3764417.9</v>
          </cell>
          <cell r="M35">
            <v>3764417.9</v>
          </cell>
          <cell r="N35">
            <v>142175.43999999994</v>
          </cell>
          <cell r="O35">
            <v>24.18</v>
          </cell>
          <cell r="P35">
            <v>161563</v>
          </cell>
          <cell r="Q35">
            <v>161563</v>
          </cell>
          <cell r="R35">
            <v>0</v>
          </cell>
        </row>
        <row r="36">
          <cell r="A36" t="str">
            <v>FLOT</v>
          </cell>
          <cell r="B36" t="str">
            <v>VanEck Vectors Australian Floating Rate ETF</v>
          </cell>
          <cell r="C36" t="str">
            <v>Fixed Income - Australia</v>
          </cell>
          <cell r="D36" t="str">
            <v>Bloomberg AusBond Credit FRN 0+ Yr Index</v>
          </cell>
          <cell r="E36" t="str">
            <v>FLOT</v>
          </cell>
          <cell r="F36">
            <v>0.22</v>
          </cell>
          <cell r="G36">
            <v>42923</v>
          </cell>
          <cell r="H36">
            <v>85280953.559999987</v>
          </cell>
          <cell r="I36">
            <v>8974486.2949999999</v>
          </cell>
          <cell r="J36" t="str">
            <v>VanEck</v>
          </cell>
          <cell r="K36">
            <v>252</v>
          </cell>
          <cell r="L36">
            <v>81298876.099999994</v>
          </cell>
          <cell r="M36">
            <v>81298876.099999994</v>
          </cell>
          <cell r="N36">
            <v>3982077.4599999934</v>
          </cell>
          <cell r="O36">
            <v>25.08</v>
          </cell>
          <cell r="P36">
            <v>3400356.9999999995</v>
          </cell>
          <cell r="Q36">
            <v>3240290</v>
          </cell>
          <cell r="R36">
            <v>4014480.3599999882</v>
          </cell>
        </row>
        <row r="37">
          <cell r="A37" t="str">
            <v>FOOD</v>
          </cell>
          <cell r="B37" t="str">
            <v>BetaShares Global Agriculture Companies ETF</v>
          </cell>
          <cell r="C37" t="str">
            <v>Equity - Global</v>
          </cell>
          <cell r="D37" t="str">
            <v>Nasdaq Global ex-Australia Agriculture Companies Hedged AUD Index</v>
          </cell>
          <cell r="E37" t="str">
            <v>FOOD</v>
          </cell>
          <cell r="F37">
            <v>0.56999999999999995</v>
          </cell>
          <cell r="G37">
            <v>42586</v>
          </cell>
          <cell r="H37">
            <v>17384683.440000001</v>
          </cell>
          <cell r="I37">
            <v>1346800.2700000003</v>
          </cell>
          <cell r="J37" t="str">
            <v>BetaShares</v>
          </cell>
          <cell r="K37">
            <v>85</v>
          </cell>
          <cell r="L37">
            <v>17805038.48</v>
          </cell>
          <cell r="M37">
            <v>17805038.48</v>
          </cell>
          <cell r="N37">
            <v>-420355.03999999911</v>
          </cell>
          <cell r="O37">
            <v>5.79</v>
          </cell>
          <cell r="P37">
            <v>3002536</v>
          </cell>
          <cell r="Q37">
            <v>3002536</v>
          </cell>
          <cell r="R37">
            <v>0</v>
          </cell>
        </row>
        <row r="38">
          <cell r="A38" t="str">
            <v>FUEL</v>
          </cell>
          <cell r="B38" t="str">
            <v>BetaShares Global Energy Companies ETF - Currency Hedged</v>
          </cell>
          <cell r="C38" t="str">
            <v>Equity - Global</v>
          </cell>
          <cell r="D38" t="str">
            <v>Nasdaq Global ex-Australia Energy Hedged AUD Index</v>
          </cell>
          <cell r="E38" t="str">
            <v>FUEL</v>
          </cell>
          <cell r="F38">
            <v>0.56999999999999995</v>
          </cell>
          <cell r="G38">
            <v>42541</v>
          </cell>
          <cell r="H38">
            <v>28869582.559999999</v>
          </cell>
          <cell r="I38">
            <v>3594123.2399999998</v>
          </cell>
          <cell r="J38" t="str">
            <v>BetaShares</v>
          </cell>
          <cell r="K38">
            <v>253</v>
          </cell>
          <cell r="L38">
            <v>28605531.5</v>
          </cell>
          <cell r="M38">
            <v>28605531.5</v>
          </cell>
          <cell r="N38">
            <v>264051.05999999866</v>
          </cell>
          <cell r="O38">
            <v>6.56</v>
          </cell>
          <cell r="P38">
            <v>4400851</v>
          </cell>
          <cell r="Q38">
            <v>4400851</v>
          </cell>
          <cell r="R38">
            <v>0</v>
          </cell>
        </row>
        <row r="39">
          <cell r="A39" t="str">
            <v>GDX</v>
          </cell>
          <cell r="B39" t="str">
            <v>VanEck Vectors Gold Miners ETF</v>
          </cell>
          <cell r="C39" t="str">
            <v>Equity - Global</v>
          </cell>
          <cell r="D39" t="str">
            <v>NYSE Arca Gold Miners Index</v>
          </cell>
          <cell r="E39" t="str">
            <v>GDX</v>
          </cell>
          <cell r="F39">
            <v>0.53</v>
          </cell>
          <cell r="G39">
            <v>42181</v>
          </cell>
          <cell r="H39">
            <v>68891277.629999995</v>
          </cell>
          <cell r="I39">
            <v>3306681.04</v>
          </cell>
          <cell r="J39" t="str">
            <v>VanEck</v>
          </cell>
          <cell r="K39">
            <v>249</v>
          </cell>
          <cell r="L39">
            <v>69877066.870000005</v>
          </cell>
          <cell r="M39">
            <v>69877066.870000005</v>
          </cell>
          <cell r="N39">
            <v>-985789.24000000954</v>
          </cell>
          <cell r="O39">
            <v>29.73</v>
          </cell>
          <cell r="P39">
            <v>2317231</v>
          </cell>
          <cell r="Q39">
            <v>2347231</v>
          </cell>
          <cell r="R39">
            <v>-891900</v>
          </cell>
        </row>
        <row r="40">
          <cell r="A40" t="str">
            <v>GEAR</v>
          </cell>
          <cell r="B40" t="str">
            <v>BetaShares Geared Australian Equity Fund (Hedge Fund)</v>
          </cell>
          <cell r="C40" t="str">
            <v>Equity - Australia</v>
          </cell>
          <cell r="E40" t="str">
            <v>GEAR</v>
          </cell>
          <cell r="F40">
            <v>0.8</v>
          </cell>
          <cell r="G40">
            <v>41761</v>
          </cell>
          <cell r="H40">
            <v>75228322.980000004</v>
          </cell>
          <cell r="I40">
            <v>13718932.069999998</v>
          </cell>
          <cell r="J40" t="str">
            <v>BetaShares</v>
          </cell>
          <cell r="K40">
            <v>545</v>
          </cell>
          <cell r="L40">
            <v>70247521.61999999</v>
          </cell>
          <cell r="M40">
            <v>70247521.61999999</v>
          </cell>
          <cell r="N40">
            <v>4980801.3600000143</v>
          </cell>
          <cell r="O40">
            <v>24.77</v>
          </cell>
          <cell r="P40">
            <v>3037074</v>
          </cell>
          <cell r="Q40">
            <v>3037073.9999999995</v>
          </cell>
          <cell r="R40">
            <v>1.1534430086612701E-8</v>
          </cell>
        </row>
        <row r="41">
          <cell r="A41" t="str">
            <v>GGUS</v>
          </cell>
          <cell r="B41" t="str">
            <v>BetaShares Geared US Equity Fund Currency Hedged (Hedge Fund)</v>
          </cell>
          <cell r="C41" t="str">
            <v>Equity - Global</v>
          </cell>
          <cell r="D41" t="str">
            <v>S&amp;P 500 Hedged AUD</v>
          </cell>
          <cell r="E41" t="str">
            <v>GGUS</v>
          </cell>
          <cell r="F41">
            <v>0.8</v>
          </cell>
          <cell r="G41">
            <v>42234</v>
          </cell>
          <cell r="H41">
            <v>17655000</v>
          </cell>
          <cell r="I41">
            <v>11122865.739999998</v>
          </cell>
          <cell r="J41" t="str">
            <v>BetaShares</v>
          </cell>
          <cell r="K41">
            <v>401</v>
          </cell>
          <cell r="L41">
            <v>20865000</v>
          </cell>
          <cell r="M41">
            <v>20865000</v>
          </cell>
          <cell r="N41">
            <v>-3210000</v>
          </cell>
          <cell r="O41">
            <v>16.05</v>
          </cell>
          <cell r="P41">
            <v>1100000</v>
          </cell>
          <cell r="Q41">
            <v>1300000</v>
          </cell>
          <cell r="R41">
            <v>-3210000</v>
          </cell>
        </row>
        <row r="42">
          <cell r="A42" t="str">
            <v>GLIN</v>
          </cell>
          <cell r="B42" t="str">
            <v>AMP Capital Global Infrastructure Securities Fund (Unhedged) (Managed Fund)</v>
          </cell>
          <cell r="C42" t="str">
            <v>Infrastructure</v>
          </cell>
          <cell r="E42" t="str">
            <v>GLIN</v>
          </cell>
          <cell r="F42">
            <v>0.85000000000000009</v>
          </cell>
          <cell r="G42">
            <v>42527</v>
          </cell>
          <cell r="H42">
            <v>23560629.120000001</v>
          </cell>
          <cell r="I42">
            <v>683003.24</v>
          </cell>
          <cell r="J42" t="str">
            <v>AMP Capital / BetaShares</v>
          </cell>
          <cell r="K42">
            <v>29</v>
          </cell>
          <cell r="L42">
            <v>22663722.48</v>
          </cell>
          <cell r="M42">
            <v>22663722.48</v>
          </cell>
          <cell r="N42">
            <v>896906.6400000006</v>
          </cell>
          <cell r="O42">
            <v>2.72</v>
          </cell>
          <cell r="P42">
            <v>8661996</v>
          </cell>
          <cell r="Q42">
            <v>8750472</v>
          </cell>
          <cell r="R42">
            <v>-240654.72000000003</v>
          </cell>
        </row>
        <row r="43">
          <cell r="A43" t="str">
            <v>GOLD</v>
          </cell>
          <cell r="B43" t="str">
            <v>ETFS Physical Gold</v>
          </cell>
          <cell r="C43" t="str">
            <v xml:space="preserve">Commodity </v>
          </cell>
          <cell r="D43" t="str">
            <v>LBMA Gold Price PM USD</v>
          </cell>
          <cell r="E43" t="str">
            <v>GOLD</v>
          </cell>
          <cell r="F43">
            <v>0.4</v>
          </cell>
          <cell r="G43">
            <v>37708</v>
          </cell>
          <cell r="H43">
            <v>591167882.25</v>
          </cell>
          <cell r="I43">
            <v>21842786.88499999</v>
          </cell>
          <cell r="J43" t="str">
            <v>ETFS</v>
          </cell>
          <cell r="K43">
            <v>1974</v>
          </cell>
          <cell r="L43">
            <v>601362342.45000005</v>
          </cell>
          <cell r="M43">
            <v>601362342.45000005</v>
          </cell>
          <cell r="N43">
            <v>-10194460.200000048</v>
          </cell>
          <cell r="O43">
            <v>160.05000000000001</v>
          </cell>
          <cell r="P43">
            <v>3693644.9999999995</v>
          </cell>
          <cell r="Q43">
            <v>3693645.0000000005</v>
          </cell>
          <cell r="R43">
            <v>-1.4905817806720735E-7</v>
          </cell>
        </row>
        <row r="44">
          <cell r="A44" t="str">
            <v>GOVT</v>
          </cell>
          <cell r="B44" t="str">
            <v>SPDR S&amp;P/ASX Australian Government Bond Fund</v>
          </cell>
          <cell r="C44" t="str">
            <v>Fixed Income - Australia</v>
          </cell>
          <cell r="D44" t="str">
            <v>S&amp;P/ASX Government Bond Index</v>
          </cell>
          <cell r="E44" t="str">
            <v>GOVT</v>
          </cell>
          <cell r="F44">
            <v>0.22</v>
          </cell>
          <cell r="G44">
            <v>41117</v>
          </cell>
          <cell r="H44">
            <v>12980446.76</v>
          </cell>
          <cell r="I44">
            <v>226595.02</v>
          </cell>
          <cell r="J44" t="str">
            <v>StateStreet</v>
          </cell>
          <cell r="K44">
            <v>21</v>
          </cell>
          <cell r="L44">
            <v>12990540.42</v>
          </cell>
          <cell r="M44">
            <v>12990540.42</v>
          </cell>
          <cell r="N44">
            <v>-10093.660000000149</v>
          </cell>
          <cell r="O44">
            <v>25.72</v>
          </cell>
          <cell r="P44">
            <v>504683</v>
          </cell>
          <cell r="Q44">
            <v>504683</v>
          </cell>
          <cell r="R44">
            <v>0</v>
          </cell>
        </row>
        <row r="45">
          <cell r="A45" t="str">
            <v>GROW</v>
          </cell>
          <cell r="B45" t="str">
            <v>Schroder Real Return Fund (Managed Fund)</v>
          </cell>
          <cell r="C45" t="str">
            <v>Mixed</v>
          </cell>
          <cell r="E45" t="str">
            <v>GROW</v>
          </cell>
          <cell r="F45">
            <v>0.9</v>
          </cell>
          <cell r="G45">
            <v>42598</v>
          </cell>
          <cell r="H45">
            <v>47150790.900000006</v>
          </cell>
          <cell r="I45">
            <v>1993550.86</v>
          </cell>
          <cell r="J45" t="str">
            <v>Schroder</v>
          </cell>
          <cell r="K45">
            <v>60</v>
          </cell>
          <cell r="L45">
            <v>46745011.039999999</v>
          </cell>
          <cell r="M45">
            <v>46745011.039999999</v>
          </cell>
          <cell r="N45">
            <v>405779.86000000685</v>
          </cell>
          <cell r="O45">
            <v>3.7</v>
          </cell>
          <cell r="P45">
            <v>12743457.000000002</v>
          </cell>
          <cell r="Q45">
            <v>12842036</v>
          </cell>
          <cell r="R45">
            <v>-364742.29999999312</v>
          </cell>
        </row>
        <row r="46">
          <cell r="A46" t="str">
            <v>HACK</v>
          </cell>
          <cell r="B46" t="str">
            <v>BetaShares Global Cybersecurity ETF</v>
          </cell>
          <cell r="C46" t="str">
            <v>Equity - Global</v>
          </cell>
          <cell r="D46" t="str">
            <v>Nasdaq CTA Cybersecurity Index</v>
          </cell>
          <cell r="E46" t="str">
            <v>HACK</v>
          </cell>
          <cell r="F46">
            <v>0.67</v>
          </cell>
          <cell r="G46">
            <v>42614</v>
          </cell>
          <cell r="H46">
            <v>87348824.640000001</v>
          </cell>
          <cell r="I46">
            <v>14122732.949999999</v>
          </cell>
          <cell r="J46" t="str">
            <v>BetaShares</v>
          </cell>
          <cell r="K46">
            <v>1071</v>
          </cell>
          <cell r="L46">
            <v>77892379.840000004</v>
          </cell>
          <cell r="M46">
            <v>77892379.840000004</v>
          </cell>
          <cell r="N46">
            <v>9456444.799999997</v>
          </cell>
          <cell r="O46">
            <v>6.93</v>
          </cell>
          <cell r="P46">
            <v>12604448</v>
          </cell>
          <cell r="Q46">
            <v>11404448</v>
          </cell>
          <cell r="R46">
            <v>8316000</v>
          </cell>
        </row>
        <row r="47">
          <cell r="A47" t="str">
            <v>HBRD</v>
          </cell>
          <cell r="B47" t="str">
            <v>BetaShares Active Australian Hybrids Fund</v>
          </cell>
          <cell r="C47" t="str">
            <v>Fixed Income - Global</v>
          </cell>
          <cell r="E47" t="str">
            <v>HBRD</v>
          </cell>
          <cell r="F47">
            <v>0.55000000000000004</v>
          </cell>
          <cell r="G47">
            <v>43056</v>
          </cell>
          <cell r="H47">
            <v>100098361.44</v>
          </cell>
          <cell r="I47">
            <v>12253430.319999997</v>
          </cell>
          <cell r="J47" t="str">
            <v>BetaShares</v>
          </cell>
          <cell r="K47">
            <v>314</v>
          </cell>
          <cell r="L47">
            <v>89368334.480000004</v>
          </cell>
          <cell r="M47">
            <v>89368334.480000004</v>
          </cell>
          <cell r="N47">
            <v>10730026.959999993</v>
          </cell>
          <cell r="O47">
            <v>9.99</v>
          </cell>
          <cell r="P47">
            <v>10019856</v>
          </cell>
          <cell r="Q47">
            <v>9036232</v>
          </cell>
          <cell r="R47">
            <v>9826403.7599999998</v>
          </cell>
        </row>
        <row r="48">
          <cell r="A48" t="str">
            <v>HEUR</v>
          </cell>
          <cell r="B48" t="str">
            <v>BetaShares WisdomTree Europe ETF - Currency Hedged</v>
          </cell>
          <cell r="C48" t="str">
            <v>Equity - Global</v>
          </cell>
          <cell r="D48" t="str">
            <v>WisdomTree Europe Hedged Equity Index</v>
          </cell>
          <cell r="E48" t="str">
            <v>HEUR</v>
          </cell>
          <cell r="F48">
            <v>0.57999999999999996</v>
          </cell>
          <cell r="G48">
            <v>42502</v>
          </cell>
          <cell r="H48">
            <v>49638884.160000004</v>
          </cell>
          <cell r="I48">
            <v>8904500.5249999985</v>
          </cell>
          <cell r="J48" t="str">
            <v>BetaShares</v>
          </cell>
          <cell r="K48">
            <v>703</v>
          </cell>
          <cell r="L48">
            <v>53208491.160000004</v>
          </cell>
          <cell r="M48">
            <v>53208491.160000004</v>
          </cell>
          <cell r="N48">
            <v>-3569607</v>
          </cell>
          <cell r="O48">
            <v>12.72</v>
          </cell>
          <cell r="P48">
            <v>3902428</v>
          </cell>
          <cell r="Q48">
            <v>4102428</v>
          </cell>
          <cell r="R48">
            <v>-2544000</v>
          </cell>
        </row>
        <row r="49">
          <cell r="A49" t="str">
            <v>HJPN</v>
          </cell>
          <cell r="B49" t="str">
            <v>BetaShares WisdomTree Japan  ETF - Currency Hedged</v>
          </cell>
          <cell r="C49" t="str">
            <v>Equity - Global</v>
          </cell>
          <cell r="D49" t="str">
            <v>WisdomTree Japan Hedged Equity Index</v>
          </cell>
          <cell r="E49" t="str">
            <v>HJPN</v>
          </cell>
          <cell r="F49">
            <v>0.57999999999999996</v>
          </cell>
          <cell r="G49">
            <v>42502</v>
          </cell>
          <cell r="H49">
            <v>63684040.68</v>
          </cell>
          <cell r="I49">
            <v>5947677.9200000009</v>
          </cell>
          <cell r="J49" t="str">
            <v>BetaShares</v>
          </cell>
          <cell r="K49">
            <v>391</v>
          </cell>
          <cell r="L49">
            <v>67186502.739999995</v>
          </cell>
          <cell r="M49">
            <v>67186502.739999995</v>
          </cell>
          <cell r="N49">
            <v>-3502462.0599999949</v>
          </cell>
          <cell r="O49">
            <v>13.26</v>
          </cell>
          <cell r="P49">
            <v>4802718</v>
          </cell>
          <cell r="Q49">
            <v>5002718</v>
          </cell>
          <cell r="R49">
            <v>-2652000</v>
          </cell>
        </row>
        <row r="50">
          <cell r="A50" t="str">
            <v>HVST</v>
          </cell>
          <cell r="B50" t="str">
            <v>BetaShares Australian Dividend Harvester Fund (Managed Fund)</v>
          </cell>
          <cell r="C50" t="str">
            <v>Equity - Australia</v>
          </cell>
          <cell r="E50" t="str">
            <v>HVST</v>
          </cell>
          <cell r="F50">
            <v>0.9</v>
          </cell>
          <cell r="G50">
            <v>41946</v>
          </cell>
          <cell r="H50">
            <v>199078791.15000001</v>
          </cell>
          <cell r="I50">
            <v>21463958.630000003</v>
          </cell>
          <cell r="J50" t="str">
            <v>BetaShares</v>
          </cell>
          <cell r="K50">
            <v>614</v>
          </cell>
          <cell r="L50">
            <v>207134433.19999999</v>
          </cell>
          <cell r="M50">
            <v>207134433.19999999</v>
          </cell>
          <cell r="N50">
            <v>-8055642.0499999821</v>
          </cell>
          <cell r="O50">
            <v>16.05</v>
          </cell>
          <cell r="P50">
            <v>12403663</v>
          </cell>
          <cell r="Q50">
            <v>13193276</v>
          </cell>
          <cell r="R50">
            <v>-12673288.65</v>
          </cell>
        </row>
        <row r="51">
          <cell r="A51" t="str">
            <v>IAA</v>
          </cell>
          <cell r="B51" t="str">
            <v>iShares S&amp;P Asia 50 ETF</v>
          </cell>
          <cell r="C51" t="str">
            <v>Equity - Global</v>
          </cell>
          <cell r="D51" t="str">
            <v>S&amp;P Asia 50</v>
          </cell>
          <cell r="E51" t="str">
            <v>IAA</v>
          </cell>
          <cell r="F51">
            <v>0.5</v>
          </cell>
          <cell r="G51">
            <v>39701</v>
          </cell>
          <cell r="H51">
            <v>433944846.30000001</v>
          </cell>
          <cell r="I51">
            <v>27394125.460000008</v>
          </cell>
          <cell r="J51" t="str">
            <v>iShares</v>
          </cell>
          <cell r="K51">
            <v>1340</v>
          </cell>
          <cell r="L51">
            <v>440009256.27999997</v>
          </cell>
          <cell r="M51">
            <v>440009256.27999997</v>
          </cell>
          <cell r="N51">
            <v>-6064409.9799999595</v>
          </cell>
          <cell r="O51">
            <v>84.98</v>
          </cell>
          <cell r="P51">
            <v>5106435</v>
          </cell>
          <cell r="Q51">
            <v>5014922</v>
          </cell>
          <cell r="R51">
            <v>7776774.7400000002</v>
          </cell>
        </row>
        <row r="52">
          <cell r="A52" t="str">
            <v>IAF</v>
          </cell>
          <cell r="B52" t="str">
            <v>iShares Core Composite Bond ETF</v>
          </cell>
          <cell r="C52" t="str">
            <v>Fixed Income - Australia</v>
          </cell>
          <cell r="D52" t="str">
            <v>Bloomberg AusBond Composite Index</v>
          </cell>
          <cell r="E52" t="str">
            <v>IAF</v>
          </cell>
          <cell r="F52">
            <v>0.2</v>
          </cell>
          <cell r="G52">
            <v>40982</v>
          </cell>
          <cell r="H52">
            <v>583480906.83000004</v>
          </cell>
          <cell r="I52">
            <v>25930918.649999995</v>
          </cell>
          <cell r="J52" t="str">
            <v>iShares</v>
          </cell>
          <cell r="K52">
            <v>1344</v>
          </cell>
          <cell r="L52">
            <v>569838444.48000002</v>
          </cell>
          <cell r="M52">
            <v>569838444.48000002</v>
          </cell>
          <cell r="N52">
            <v>13642462.350000024</v>
          </cell>
          <cell r="O52">
            <v>107.01</v>
          </cell>
          <cell r="P52">
            <v>5452583</v>
          </cell>
          <cell r="Q52">
            <v>5347583</v>
          </cell>
          <cell r="R52">
            <v>11236050</v>
          </cell>
        </row>
        <row r="53">
          <cell r="A53" t="str">
            <v>IEM</v>
          </cell>
          <cell r="B53" t="str">
            <v>iShares MSCI Emerging Markets ETF</v>
          </cell>
          <cell r="C53" t="str">
            <v>Equity - Global</v>
          </cell>
          <cell r="D53" t="str">
            <v>MSCI Emerging Markets</v>
          </cell>
          <cell r="E53" t="str">
            <v>IEM</v>
          </cell>
          <cell r="F53">
            <v>0.69</v>
          </cell>
          <cell r="G53">
            <v>39365</v>
          </cell>
          <cell r="H53">
            <v>615121928.79999995</v>
          </cell>
          <cell r="I53">
            <v>56307603.645000003</v>
          </cell>
          <cell r="J53" t="str">
            <v>iShares</v>
          </cell>
          <cell r="K53">
            <v>2311</v>
          </cell>
          <cell r="L53">
            <v>634663516.79999995</v>
          </cell>
          <cell r="M53">
            <v>634663516.79999995</v>
          </cell>
          <cell r="N53">
            <v>-19541588</v>
          </cell>
          <cell r="O53">
            <v>58.54</v>
          </cell>
          <cell r="P53">
            <v>10507720</v>
          </cell>
          <cell r="Q53">
            <v>10500720</v>
          </cell>
          <cell r="R53">
            <v>409780</v>
          </cell>
        </row>
        <row r="54">
          <cell r="A54" t="str">
            <v>IEU</v>
          </cell>
          <cell r="B54" t="str">
            <v>iShares S&amp;P Europe ETF</v>
          </cell>
          <cell r="C54" t="str">
            <v>Equity - Global</v>
          </cell>
          <cell r="D54" t="str">
            <v>S&amp;P Europe 350</v>
          </cell>
          <cell r="E54" t="str">
            <v>IEU</v>
          </cell>
          <cell r="F54">
            <v>0.6</v>
          </cell>
          <cell r="G54">
            <v>39365</v>
          </cell>
          <cell r="H54">
            <v>762464989.30000007</v>
          </cell>
          <cell r="I54">
            <v>69259425.034999996</v>
          </cell>
          <cell r="J54" t="str">
            <v>iShares</v>
          </cell>
          <cell r="K54">
            <v>1919</v>
          </cell>
          <cell r="L54">
            <v>806272558.20000005</v>
          </cell>
          <cell r="M54">
            <v>806272558.20000005</v>
          </cell>
          <cell r="N54">
            <v>-43807568.899999976</v>
          </cell>
          <cell r="O54">
            <v>60.34</v>
          </cell>
          <cell r="P54">
            <v>12636145</v>
          </cell>
          <cell r="Q54">
            <v>13097345</v>
          </cell>
          <cell r="R54">
            <v>-27828808</v>
          </cell>
        </row>
        <row r="55">
          <cell r="A55" t="str">
            <v>IFRA</v>
          </cell>
          <cell r="B55" t="str">
            <v>VanEck Vectors FTSE Global Infrastructure (Hedged) ETF</v>
          </cell>
          <cell r="C55" t="str">
            <v>Infrastructure</v>
          </cell>
          <cell r="E55" t="str">
            <v>IFRA</v>
          </cell>
          <cell r="F55">
            <v>0.52</v>
          </cell>
          <cell r="G55">
            <v>42493</v>
          </cell>
          <cell r="H55">
            <v>77068558.079999998</v>
          </cell>
          <cell r="I55">
            <v>4259548.25</v>
          </cell>
          <cell r="J55" t="str">
            <v>VanEck</v>
          </cell>
          <cell r="K55">
            <v>265</v>
          </cell>
          <cell r="L55">
            <v>75125986.399999991</v>
          </cell>
          <cell r="M55">
            <v>75125986.399999991</v>
          </cell>
          <cell r="N55">
            <v>1942571.6800000072</v>
          </cell>
          <cell r="O55">
            <v>19.440000000000001</v>
          </cell>
          <cell r="P55">
            <v>3964431.9999999995</v>
          </cell>
          <cell r="Q55">
            <v>3964431.9999999995</v>
          </cell>
          <cell r="R55">
            <v>0</v>
          </cell>
        </row>
        <row r="56">
          <cell r="A56" t="str">
            <v>IGB</v>
          </cell>
          <cell r="B56" t="str">
            <v>iShares Treasury ETF</v>
          </cell>
          <cell r="C56" t="str">
            <v>Fixed Income - Australia</v>
          </cell>
          <cell r="D56" t="str">
            <v>Bloomberg AusBond Treasury Index</v>
          </cell>
          <cell r="E56" t="str">
            <v>IGB</v>
          </cell>
          <cell r="F56">
            <v>0.26</v>
          </cell>
          <cell r="G56">
            <v>40982</v>
          </cell>
          <cell r="H56">
            <v>30861431.100000001</v>
          </cell>
          <cell r="I56">
            <v>1684494.5</v>
          </cell>
          <cell r="J56" t="str">
            <v>iShares</v>
          </cell>
          <cell r="K56">
            <v>75</v>
          </cell>
          <cell r="L56">
            <v>30778102.260000002</v>
          </cell>
          <cell r="M56">
            <v>30778102.260000002</v>
          </cell>
          <cell r="N56">
            <v>83328.839999999851</v>
          </cell>
          <cell r="O56">
            <v>103.7</v>
          </cell>
          <cell r="P56">
            <v>297603</v>
          </cell>
          <cell r="Q56">
            <v>297603</v>
          </cell>
          <cell r="R56">
            <v>0</v>
          </cell>
        </row>
        <row r="57">
          <cell r="A57" t="str">
            <v>IHCB</v>
          </cell>
          <cell r="B57" t="str">
            <v>iShares Core Global Corporate Bond (AUD Hedged) ETF</v>
          </cell>
          <cell r="C57" t="str">
            <v>Fixed Income - Global</v>
          </cell>
          <cell r="E57" t="str">
            <v>IHCB</v>
          </cell>
          <cell r="F57">
            <v>0.26</v>
          </cell>
          <cell r="G57">
            <v>42347</v>
          </cell>
          <cell r="H57">
            <v>80736219.989999995</v>
          </cell>
          <cell r="I57">
            <v>3869515.4999999991</v>
          </cell>
          <cell r="J57" t="str">
            <v>iShares</v>
          </cell>
          <cell r="K57">
            <v>205</v>
          </cell>
          <cell r="L57">
            <v>80853330.840000004</v>
          </cell>
          <cell r="M57">
            <v>80853330.840000004</v>
          </cell>
          <cell r="N57">
            <v>-117110.85000000894</v>
          </cell>
          <cell r="O57">
            <v>103.41</v>
          </cell>
          <cell r="P57">
            <v>780739</v>
          </cell>
          <cell r="Q57">
            <v>780739</v>
          </cell>
          <cell r="R57">
            <v>0</v>
          </cell>
        </row>
        <row r="58">
          <cell r="A58" t="str">
            <v>IHD</v>
          </cell>
          <cell r="B58" t="str">
            <v>iShares S&amp;P/ASX High Dividend Yield ETF</v>
          </cell>
          <cell r="C58" t="str">
            <v>Equity - Australia</v>
          </cell>
          <cell r="D58" t="str">
            <v xml:space="preserve">S&amp;P/ASX Dividend Opportunities Index </v>
          </cell>
          <cell r="E58" t="str">
            <v>IHD</v>
          </cell>
          <cell r="F58">
            <v>0.3</v>
          </cell>
          <cell r="G58">
            <v>40521</v>
          </cell>
          <cell r="H58">
            <v>257470667.52000001</v>
          </cell>
          <cell r="I58">
            <v>10484307.809999999</v>
          </cell>
          <cell r="J58" t="str">
            <v>iShares</v>
          </cell>
          <cell r="K58">
            <v>324</v>
          </cell>
          <cell r="L58">
            <v>253330846.47000003</v>
          </cell>
          <cell r="M58">
            <v>253330846.47000003</v>
          </cell>
          <cell r="N58">
            <v>4139821.0499999821</v>
          </cell>
          <cell r="O58">
            <v>14.08</v>
          </cell>
          <cell r="P58">
            <v>18286269</v>
          </cell>
          <cell r="Q58">
            <v>18586269</v>
          </cell>
          <cell r="R58">
            <v>-4224000</v>
          </cell>
        </row>
        <row r="59">
          <cell r="A59" t="str">
            <v>IHEB</v>
          </cell>
          <cell r="B59" t="str">
            <v>iShares J.P.Morgan USD Emerging Markets Bond (AUD Hedged) ETF</v>
          </cell>
          <cell r="C59" t="str">
            <v>Fixed Income - Global</v>
          </cell>
          <cell r="E59" t="str">
            <v>IHEB</v>
          </cell>
          <cell r="F59">
            <v>0.51</v>
          </cell>
          <cell r="G59">
            <v>42347</v>
          </cell>
          <cell r="H59">
            <v>13066470.560000001</v>
          </cell>
          <cell r="I59">
            <v>408192.7</v>
          </cell>
          <cell r="J59" t="str">
            <v>iShares</v>
          </cell>
          <cell r="K59">
            <v>27</v>
          </cell>
          <cell r="L59">
            <v>13390658.6</v>
          </cell>
          <cell r="M59">
            <v>13390658.6</v>
          </cell>
          <cell r="N59">
            <v>-324188.03999999911</v>
          </cell>
          <cell r="O59">
            <v>100.36</v>
          </cell>
          <cell r="P59">
            <v>130196</v>
          </cell>
          <cell r="Q59">
            <v>130196</v>
          </cell>
          <cell r="R59">
            <v>0</v>
          </cell>
        </row>
        <row r="60">
          <cell r="A60" t="str">
            <v>IHHY</v>
          </cell>
          <cell r="B60" t="str">
            <v>iShares Global High Yield Bond (AUD Hedged) ETF</v>
          </cell>
          <cell r="C60" t="str">
            <v>Fixed Income - Global</v>
          </cell>
          <cell r="E60" t="str">
            <v>IHHY</v>
          </cell>
          <cell r="F60">
            <v>0.56000000000000005</v>
          </cell>
          <cell r="G60">
            <v>42347</v>
          </cell>
          <cell r="H60">
            <v>26172957.719999999</v>
          </cell>
          <cell r="I60">
            <v>1029366.3400000001</v>
          </cell>
          <cell r="J60" t="str">
            <v>iShares</v>
          </cell>
          <cell r="K60">
            <v>75</v>
          </cell>
          <cell r="L60">
            <v>25060442.640000001</v>
          </cell>
          <cell r="M60">
            <v>25060442.640000001</v>
          </cell>
          <cell r="N60">
            <v>1112515.0799999982</v>
          </cell>
          <cell r="O60">
            <v>104.52</v>
          </cell>
          <cell r="P60">
            <v>250411</v>
          </cell>
          <cell r="Q60">
            <v>240411.00000000003</v>
          </cell>
          <cell r="R60">
            <v>1045199.999999997</v>
          </cell>
        </row>
        <row r="61">
          <cell r="A61" t="str">
            <v>IHOO</v>
          </cell>
          <cell r="B61" t="str">
            <v>iShares Global 100 AUD Hedged ETF</v>
          </cell>
          <cell r="C61" t="str">
            <v>Equity - Global</v>
          </cell>
          <cell r="D61" t="str">
            <v>S&amp;P Global 100 Hedged AUD</v>
          </cell>
          <cell r="E61" t="str">
            <v>IHOO</v>
          </cell>
          <cell r="F61">
            <v>0.43</v>
          </cell>
          <cell r="G61">
            <v>41991</v>
          </cell>
          <cell r="H61">
            <v>36853322.519999996</v>
          </cell>
          <cell r="I61">
            <v>1534122.24</v>
          </cell>
          <cell r="J61" t="str">
            <v>iShares</v>
          </cell>
          <cell r="K61">
            <v>99</v>
          </cell>
          <cell r="L61">
            <v>37034642.68</v>
          </cell>
          <cell r="M61">
            <v>37034642.68</v>
          </cell>
          <cell r="N61">
            <v>-181320.16000000387</v>
          </cell>
          <cell r="O61">
            <v>113.82</v>
          </cell>
          <cell r="P61">
            <v>323786</v>
          </cell>
          <cell r="Q61">
            <v>323786</v>
          </cell>
          <cell r="R61">
            <v>0</v>
          </cell>
        </row>
        <row r="62">
          <cell r="A62" t="str">
            <v>IHVV</v>
          </cell>
          <cell r="B62" t="str">
            <v>iShares S&amp;P 500 AUD Hedged ETF</v>
          </cell>
          <cell r="C62" t="str">
            <v>Equity - Global</v>
          </cell>
          <cell r="D62" t="str">
            <v>S&amp;P 500 Hedged AUD</v>
          </cell>
          <cell r="E62" t="str">
            <v>IHVV</v>
          </cell>
          <cell r="F62">
            <v>0.1</v>
          </cell>
          <cell r="G62">
            <v>41991</v>
          </cell>
          <cell r="H62">
            <v>107846174.8</v>
          </cell>
          <cell r="I62">
            <v>11835741.342600001</v>
          </cell>
          <cell r="J62" t="str">
            <v>iShares</v>
          </cell>
          <cell r="K62">
            <v>349</v>
          </cell>
          <cell r="L62">
            <v>110962444.81</v>
          </cell>
          <cell r="M62">
            <v>110962444.81</v>
          </cell>
          <cell r="N62">
            <v>-3116270.0100000054</v>
          </cell>
          <cell r="O62">
            <v>348.4</v>
          </cell>
          <cell r="P62">
            <v>309547</v>
          </cell>
          <cell r="Q62">
            <v>318647</v>
          </cell>
          <cell r="R62">
            <v>-3170440</v>
          </cell>
        </row>
        <row r="63">
          <cell r="A63" t="str">
            <v>IHWL</v>
          </cell>
          <cell r="B63" t="str">
            <v>iShares Core MSCI World All Cap AUD Hedged ETF</v>
          </cell>
          <cell r="C63" t="str">
            <v>Equity - Global</v>
          </cell>
          <cell r="D63" t="str">
            <v>MSCI World Investable Market Index (Net TR) 100% Heged to AUD</v>
          </cell>
          <cell r="E63" t="str">
            <v>IHWL</v>
          </cell>
          <cell r="F63">
            <v>0.19</v>
          </cell>
          <cell r="G63">
            <v>42488</v>
          </cell>
          <cell r="H63">
            <v>12027311.73</v>
          </cell>
          <cell r="I63">
            <v>1315180.44</v>
          </cell>
          <cell r="J63" t="str">
            <v>iShares</v>
          </cell>
          <cell r="K63">
            <v>55</v>
          </cell>
          <cell r="L63">
            <v>12074138.640000001</v>
          </cell>
          <cell r="M63">
            <v>12074138.640000001</v>
          </cell>
          <cell r="N63">
            <v>-46826.910000000149</v>
          </cell>
          <cell r="O63">
            <v>33.39</v>
          </cell>
          <cell r="P63">
            <v>360207</v>
          </cell>
          <cell r="Q63">
            <v>360207</v>
          </cell>
          <cell r="R63">
            <v>0</v>
          </cell>
        </row>
        <row r="64">
          <cell r="A64" t="str">
            <v>IJH</v>
          </cell>
          <cell r="B64" t="str">
            <v>iShares S&amp;P Midcap ETF</v>
          </cell>
          <cell r="C64" t="str">
            <v>Equity - Global</v>
          </cell>
          <cell r="D64" t="str">
            <v>S&amp;P Midcap 400</v>
          </cell>
          <cell r="E64" t="str">
            <v>IJH</v>
          </cell>
          <cell r="F64">
            <v>7.0000000000000007E-2</v>
          </cell>
          <cell r="G64">
            <v>39365</v>
          </cell>
          <cell r="H64">
            <v>143266170.84</v>
          </cell>
          <cell r="I64">
            <v>13306204.610000003</v>
          </cell>
          <cell r="J64" t="str">
            <v>iShares</v>
          </cell>
          <cell r="K64">
            <v>283</v>
          </cell>
          <cell r="L64">
            <v>141347256.79999998</v>
          </cell>
          <cell r="M64">
            <v>141347256.79999998</v>
          </cell>
          <cell r="N64">
            <v>1918914.0400000215</v>
          </cell>
          <cell r="O64">
            <v>263.51</v>
          </cell>
          <cell r="P64">
            <v>543684</v>
          </cell>
          <cell r="Q64">
            <v>542704</v>
          </cell>
          <cell r="R64">
            <v>258239.8</v>
          </cell>
        </row>
        <row r="65">
          <cell r="A65" t="str">
            <v>IJP</v>
          </cell>
          <cell r="B65" t="str">
            <v>iShares MSCI Japan ETF</v>
          </cell>
          <cell r="C65" t="str">
            <v>Equity - Global</v>
          </cell>
          <cell r="D65" t="str">
            <v>MSCI Japan</v>
          </cell>
          <cell r="E65" t="str">
            <v>IJP</v>
          </cell>
          <cell r="F65">
            <v>0.48</v>
          </cell>
          <cell r="G65">
            <v>39365</v>
          </cell>
          <cell r="H65">
            <v>262708162.56</v>
          </cell>
          <cell r="I65">
            <v>15619548.884999998</v>
          </cell>
          <cell r="J65" t="str">
            <v>iShares</v>
          </cell>
          <cell r="K65">
            <v>666</v>
          </cell>
          <cell r="L65">
            <v>263430427.91999999</v>
          </cell>
          <cell r="M65">
            <v>263430427.91999999</v>
          </cell>
          <cell r="N65">
            <v>-722265.3599999845</v>
          </cell>
          <cell r="O65">
            <v>78.72</v>
          </cell>
          <cell r="P65">
            <v>3337248</v>
          </cell>
          <cell r="Q65">
            <v>3316093</v>
          </cell>
          <cell r="R65">
            <v>1665321.5999999999</v>
          </cell>
        </row>
        <row r="66">
          <cell r="A66" t="str">
            <v>IJR</v>
          </cell>
          <cell r="B66" t="str">
            <v>iShares S&amp;P Small-Cap ETF</v>
          </cell>
          <cell r="C66" t="str">
            <v>Equity - Global</v>
          </cell>
          <cell r="D66" t="str">
            <v>S&amp;P Smallcap 600</v>
          </cell>
          <cell r="E66" t="str">
            <v>IJR</v>
          </cell>
          <cell r="F66">
            <v>7.0000000000000007E-2</v>
          </cell>
          <cell r="G66">
            <v>39365</v>
          </cell>
          <cell r="H66">
            <v>165635964.78</v>
          </cell>
          <cell r="I66">
            <v>32951642.569999993</v>
          </cell>
          <cell r="J66" t="str">
            <v>iShares</v>
          </cell>
          <cell r="K66">
            <v>753</v>
          </cell>
          <cell r="L66">
            <v>130824561.47999999</v>
          </cell>
          <cell r="M66">
            <v>130824561.47999999</v>
          </cell>
          <cell r="N66">
            <v>34811403.300000012</v>
          </cell>
          <cell r="O66">
            <v>114.27</v>
          </cell>
          <cell r="P66">
            <v>1449514</v>
          </cell>
          <cell r="Q66">
            <v>1180514</v>
          </cell>
          <cell r="R66">
            <v>30738630</v>
          </cell>
        </row>
        <row r="67">
          <cell r="A67" t="str">
            <v>IKO</v>
          </cell>
          <cell r="B67" t="str">
            <v>iShares MSCI South Korea Capped Index ETF</v>
          </cell>
          <cell r="C67" t="str">
            <v>Equity - Global</v>
          </cell>
          <cell r="D67" t="str">
            <v>MSCI South Korea</v>
          </cell>
          <cell r="E67" t="str">
            <v>IKO</v>
          </cell>
          <cell r="F67">
            <v>0.64</v>
          </cell>
          <cell r="G67">
            <v>39401</v>
          </cell>
          <cell r="H67">
            <v>41835246.32</v>
          </cell>
          <cell r="I67">
            <v>3091776.67</v>
          </cell>
          <cell r="J67" t="str">
            <v>iShares</v>
          </cell>
          <cell r="K67">
            <v>433</v>
          </cell>
          <cell r="L67">
            <v>42963081.839999996</v>
          </cell>
          <cell r="M67">
            <v>42963081.839999996</v>
          </cell>
          <cell r="N67">
            <v>-1127835.5199999958</v>
          </cell>
          <cell r="O67">
            <v>91.81</v>
          </cell>
          <cell r="P67">
            <v>455672</v>
          </cell>
          <cell r="Q67">
            <v>447671.99999999994</v>
          </cell>
          <cell r="R67">
            <v>734480.00000000536</v>
          </cell>
        </row>
        <row r="68">
          <cell r="A68" t="str">
            <v>ILB</v>
          </cell>
          <cell r="B68" t="str">
            <v>iShares Government Inflation ETF</v>
          </cell>
          <cell r="C68" t="str">
            <v>Fixed Income - Australia</v>
          </cell>
          <cell r="D68" t="str">
            <v>Bloomberg AusBond Inflation Government Index</v>
          </cell>
          <cell r="E68" t="str">
            <v>ILB</v>
          </cell>
          <cell r="F68">
            <v>0.26</v>
          </cell>
          <cell r="G68">
            <v>40982</v>
          </cell>
          <cell r="H68">
            <v>117075996.90000001</v>
          </cell>
          <cell r="I68">
            <v>4609628.665</v>
          </cell>
          <cell r="J68" t="str">
            <v>iShares</v>
          </cell>
          <cell r="K68">
            <v>397</v>
          </cell>
          <cell r="L68">
            <v>115963824.58</v>
          </cell>
          <cell r="M68">
            <v>115963824.58</v>
          </cell>
          <cell r="N68">
            <v>1112172.3200000077</v>
          </cell>
          <cell r="O68">
            <v>117.9</v>
          </cell>
          <cell r="P68">
            <v>993011</v>
          </cell>
          <cell r="Q68">
            <v>993011</v>
          </cell>
          <cell r="R68">
            <v>0</v>
          </cell>
        </row>
        <row r="69">
          <cell r="A69" t="str">
            <v>ILC</v>
          </cell>
          <cell r="B69" t="str">
            <v>iShares S&amp;P/ASX 20 ETF</v>
          </cell>
          <cell r="C69" t="str">
            <v>Equity - Australia</v>
          </cell>
          <cell r="D69" t="str">
            <v>S&amp;P/ASX 20</v>
          </cell>
          <cell r="E69" t="str">
            <v>ILC</v>
          </cell>
          <cell r="F69">
            <v>0.24</v>
          </cell>
          <cell r="G69">
            <v>40521</v>
          </cell>
          <cell r="H69">
            <v>319353167.41999996</v>
          </cell>
          <cell r="I69">
            <v>8273414.5499999989</v>
          </cell>
          <cell r="J69" t="str">
            <v>iShares</v>
          </cell>
          <cell r="K69">
            <v>330</v>
          </cell>
          <cell r="L69">
            <v>307998594.43000001</v>
          </cell>
          <cell r="M69">
            <v>307998594.43000001</v>
          </cell>
          <cell r="N69">
            <v>11354572.98999995</v>
          </cell>
          <cell r="O69">
            <v>24.58</v>
          </cell>
          <cell r="P69">
            <v>12992399</v>
          </cell>
          <cell r="Q69">
            <v>13067399</v>
          </cell>
          <cell r="R69">
            <v>-1843499.9999999998</v>
          </cell>
        </row>
        <row r="70">
          <cell r="A70" t="str">
            <v>INIF</v>
          </cell>
          <cell r="B70" t="str">
            <v>InvestSMART Australian Equity Income Fund (Managed Fund)</v>
          </cell>
          <cell r="C70" t="str">
            <v>Equity - Australia</v>
          </cell>
          <cell r="E70" t="str">
            <v>INIF</v>
          </cell>
          <cell r="F70">
            <v>1.24</v>
          </cell>
          <cell r="G70">
            <v>43270</v>
          </cell>
          <cell r="H70">
            <v>34254256.68</v>
          </cell>
          <cell r="I70">
            <v>3769546.88</v>
          </cell>
          <cell r="J70" t="str">
            <v>InvestSMART</v>
          </cell>
          <cell r="K70">
            <v>210</v>
          </cell>
          <cell r="L70">
            <v>0</v>
          </cell>
          <cell r="M70">
            <v>0</v>
          </cell>
          <cell r="N70">
            <v>34254256.68</v>
          </cell>
          <cell r="O70">
            <v>2.52</v>
          </cell>
          <cell r="P70">
            <v>13592959</v>
          </cell>
          <cell r="Q70">
            <v>0</v>
          </cell>
          <cell r="R70">
            <v>34254256.68</v>
          </cell>
        </row>
        <row r="71">
          <cell r="A71" t="str">
            <v>IOO</v>
          </cell>
          <cell r="B71" t="str">
            <v>iShares S&amp;P Global 100 ETF</v>
          </cell>
          <cell r="C71" t="str">
            <v>Equity - Global</v>
          </cell>
          <cell r="D71" t="str">
            <v>S&amp;P Global 100</v>
          </cell>
          <cell r="E71" t="str">
            <v>IOO</v>
          </cell>
          <cell r="F71">
            <v>0.4</v>
          </cell>
          <cell r="G71">
            <v>39365</v>
          </cell>
          <cell r="H71">
            <v>1404204718.8</v>
          </cell>
          <cell r="I71">
            <v>32966611.679999992</v>
          </cell>
          <cell r="J71" t="str">
            <v>iShares</v>
          </cell>
          <cell r="K71">
            <v>2026</v>
          </cell>
          <cell r="L71">
            <v>1394526205.8</v>
          </cell>
          <cell r="M71">
            <v>1394526205.8</v>
          </cell>
          <cell r="N71">
            <v>9678513</v>
          </cell>
          <cell r="O71">
            <v>61.9</v>
          </cell>
          <cell r="P71">
            <v>22685052</v>
          </cell>
          <cell r="Q71">
            <v>22620052</v>
          </cell>
          <cell r="R71">
            <v>4023500</v>
          </cell>
        </row>
        <row r="72">
          <cell r="A72" t="str">
            <v>IOZ</v>
          </cell>
          <cell r="B72" t="str">
            <v>iShares Core S&amp;P/ASX 200 ETF</v>
          </cell>
          <cell r="C72" t="str">
            <v>Equity - Australia</v>
          </cell>
          <cell r="D72" t="str">
            <v>S&amp;P/ASX 200</v>
          </cell>
          <cell r="E72" t="str">
            <v>IOZ</v>
          </cell>
          <cell r="F72">
            <v>0.15</v>
          </cell>
          <cell r="G72">
            <v>40521</v>
          </cell>
          <cell r="H72">
            <v>1164064046.8800001</v>
          </cell>
          <cell r="I72">
            <v>63104375.450000018</v>
          </cell>
          <cell r="J72" t="str">
            <v>iShares</v>
          </cell>
          <cell r="K72">
            <v>2015</v>
          </cell>
          <cell r="L72">
            <v>1112433365.76</v>
          </cell>
          <cell r="M72">
            <v>1112433365.76</v>
          </cell>
          <cell r="N72">
            <v>51630681.120000124</v>
          </cell>
          <cell r="O72">
            <v>25.69</v>
          </cell>
          <cell r="P72">
            <v>45311952</v>
          </cell>
          <cell r="Q72">
            <v>44711952</v>
          </cell>
          <cell r="R72">
            <v>15414000</v>
          </cell>
        </row>
        <row r="73">
          <cell r="A73" t="str">
            <v>ISEC</v>
          </cell>
          <cell r="B73" t="str">
            <v>iShares Enhanced Cash ETF</v>
          </cell>
          <cell r="C73" t="str">
            <v>Fixed Income - Australia</v>
          </cell>
          <cell r="D73" t="str">
            <v>S&amp;P / ASX Bank Bill Index</v>
          </cell>
          <cell r="E73" t="str">
            <v>ISEC</v>
          </cell>
          <cell r="F73">
            <v>0.12</v>
          </cell>
          <cell r="G73">
            <v>42892</v>
          </cell>
          <cell r="H73">
            <v>36134304.07</v>
          </cell>
          <cell r="I73">
            <v>9465520.4999999981</v>
          </cell>
          <cell r="J73" t="str">
            <v>iShares</v>
          </cell>
          <cell r="K73">
            <v>309</v>
          </cell>
          <cell r="L73">
            <v>29111103.419999998</v>
          </cell>
          <cell r="M73">
            <v>29111103.419999998</v>
          </cell>
          <cell r="N73">
            <v>7023200.6500000022</v>
          </cell>
          <cell r="O73">
            <v>100.37</v>
          </cell>
          <cell r="P73">
            <v>360011</v>
          </cell>
          <cell r="Q73">
            <v>290009</v>
          </cell>
          <cell r="R73">
            <v>7026100.7400000002</v>
          </cell>
        </row>
        <row r="74">
          <cell r="A74" t="str">
            <v>ISO</v>
          </cell>
          <cell r="B74" t="str">
            <v>iShares S&amp;P/ASX Small Ordinaries ETF</v>
          </cell>
          <cell r="C74" t="str">
            <v>Equity - Australia</v>
          </cell>
          <cell r="D74" t="str">
            <v>S&amp;P/ASX Small Ordinaries</v>
          </cell>
          <cell r="E74" t="str">
            <v>ISO</v>
          </cell>
          <cell r="F74">
            <v>0.55000000000000004</v>
          </cell>
          <cell r="G74">
            <v>40521</v>
          </cell>
          <cell r="H74">
            <v>106047712.12</v>
          </cell>
          <cell r="I74">
            <v>6823562.8250000002</v>
          </cell>
          <cell r="J74" t="str">
            <v>iShares</v>
          </cell>
          <cell r="K74">
            <v>273</v>
          </cell>
          <cell r="L74">
            <v>101332663.08</v>
          </cell>
          <cell r="M74">
            <v>101332663.08</v>
          </cell>
          <cell r="N74">
            <v>4715049.0400000066</v>
          </cell>
          <cell r="O74">
            <v>5.24</v>
          </cell>
          <cell r="P74">
            <v>20238113</v>
          </cell>
          <cell r="Q74">
            <v>19638113</v>
          </cell>
          <cell r="R74">
            <v>3144000</v>
          </cell>
        </row>
        <row r="75">
          <cell r="A75" t="str">
            <v>ITW</v>
          </cell>
          <cell r="B75" t="str">
            <v>iShares MSCI Taiwan ETF</v>
          </cell>
          <cell r="C75" t="str">
            <v>Equity - Global</v>
          </cell>
          <cell r="D75" t="str">
            <v>MSCI Taiwan</v>
          </cell>
          <cell r="E75" t="str">
            <v>ITW</v>
          </cell>
          <cell r="F75">
            <v>0.64</v>
          </cell>
          <cell r="G75">
            <v>39401</v>
          </cell>
          <cell r="H75">
            <v>47836182.799999997</v>
          </cell>
          <cell r="I75">
            <v>490812.87</v>
          </cell>
          <cell r="J75" t="str">
            <v>iShares</v>
          </cell>
          <cell r="K75">
            <v>34</v>
          </cell>
          <cell r="L75">
            <v>47511703.039999999</v>
          </cell>
          <cell r="M75">
            <v>47511703.039999999</v>
          </cell>
          <cell r="N75">
            <v>324479.75999999791</v>
          </cell>
          <cell r="O75">
            <v>48.65</v>
          </cell>
          <cell r="P75">
            <v>983272</v>
          </cell>
          <cell r="Q75">
            <v>983272</v>
          </cell>
          <cell r="R75">
            <v>0</v>
          </cell>
        </row>
        <row r="76">
          <cell r="A76" t="str">
            <v>IVE</v>
          </cell>
          <cell r="B76" t="str">
            <v>iShares MSCI EAFE ETF</v>
          </cell>
          <cell r="C76" t="str">
            <v>Equity - Global</v>
          </cell>
          <cell r="D76" t="str">
            <v>MSCI EAFE</v>
          </cell>
          <cell r="E76" t="str">
            <v>IVE</v>
          </cell>
          <cell r="F76">
            <v>0.33</v>
          </cell>
          <cell r="G76">
            <v>39365</v>
          </cell>
          <cell r="H76">
            <v>330608070.44999999</v>
          </cell>
          <cell r="I76">
            <v>22677465.195000004</v>
          </cell>
          <cell r="J76" t="str">
            <v>iShares</v>
          </cell>
          <cell r="K76">
            <v>546</v>
          </cell>
          <cell r="L76">
            <v>326368646.5</v>
          </cell>
          <cell r="M76">
            <v>326368646.5</v>
          </cell>
          <cell r="N76">
            <v>4239423.9499999881</v>
          </cell>
          <cell r="O76">
            <v>90.99</v>
          </cell>
          <cell r="P76">
            <v>3633455</v>
          </cell>
          <cell r="Q76">
            <v>3535955</v>
          </cell>
          <cell r="R76">
            <v>8871525</v>
          </cell>
        </row>
        <row r="77">
          <cell r="A77" t="str">
            <v>IVV</v>
          </cell>
          <cell r="B77" t="str">
            <v>iShares S&amp;P 500 ETF</v>
          </cell>
          <cell r="C77" t="str">
            <v>Equity - Global</v>
          </cell>
          <cell r="D77" t="str">
            <v>S&amp;P 500</v>
          </cell>
          <cell r="E77" t="str">
            <v>IVV</v>
          </cell>
          <cell r="F77">
            <v>0.04</v>
          </cell>
          <cell r="G77">
            <v>39365</v>
          </cell>
          <cell r="H77">
            <v>2739082170.5100002</v>
          </cell>
          <cell r="I77">
            <v>94371426.999999985</v>
          </cell>
          <cell r="J77" t="str">
            <v>iShares</v>
          </cell>
          <cell r="K77">
            <v>2642</v>
          </cell>
          <cell r="L77">
            <v>2652847339.5900002</v>
          </cell>
          <cell r="M77">
            <v>2652847339.5900002</v>
          </cell>
          <cell r="N77">
            <v>86234830.920000076</v>
          </cell>
          <cell r="O77">
            <v>370.47</v>
          </cell>
          <cell r="P77">
            <v>7393533</v>
          </cell>
          <cell r="Q77">
            <v>7319613</v>
          </cell>
          <cell r="R77">
            <v>27385142.400000002</v>
          </cell>
        </row>
        <row r="78">
          <cell r="A78" t="str">
            <v>IWLD</v>
          </cell>
          <cell r="B78" t="str">
            <v>iShares Core MSCI World All Cap ETF</v>
          </cell>
          <cell r="C78" t="str">
            <v>Equity - Global</v>
          </cell>
          <cell r="D78" t="str">
            <v>MSCI World Investable Market Index (Net TR)</v>
          </cell>
          <cell r="E78" t="str">
            <v>IWLD</v>
          </cell>
          <cell r="F78">
            <v>0.16</v>
          </cell>
          <cell r="G78">
            <v>42488</v>
          </cell>
          <cell r="H78">
            <v>29417985.199999999</v>
          </cell>
          <cell r="I78">
            <v>1613722.9999999998</v>
          </cell>
          <cell r="J78" t="str">
            <v>iShares</v>
          </cell>
          <cell r="K78">
            <v>101</v>
          </cell>
          <cell r="L78">
            <v>27644780.640000001</v>
          </cell>
          <cell r="M78">
            <v>27644780.640000001</v>
          </cell>
          <cell r="N78">
            <v>1773204.5599999987</v>
          </cell>
          <cell r="O78">
            <v>33.4</v>
          </cell>
          <cell r="P78">
            <v>880778</v>
          </cell>
          <cell r="Q78">
            <v>840778</v>
          </cell>
          <cell r="R78">
            <v>1336000</v>
          </cell>
        </row>
        <row r="79">
          <cell r="A79" t="str">
            <v>IXI</v>
          </cell>
          <cell r="B79" t="str">
            <v>iShares S&amp;P Global Consumer Staples ETF</v>
          </cell>
          <cell r="C79" t="str">
            <v>Equity - Global</v>
          </cell>
          <cell r="D79" t="str">
            <v>S&amp;P Global Consumer Staples</v>
          </cell>
          <cell r="E79" t="str">
            <v>IXI</v>
          </cell>
          <cell r="F79">
            <v>0.47</v>
          </cell>
          <cell r="G79">
            <v>39883</v>
          </cell>
          <cell r="H79">
            <v>107103688.95</v>
          </cell>
          <cell r="I79">
            <v>3155021.2600000007</v>
          </cell>
          <cell r="J79" t="str">
            <v>iShares</v>
          </cell>
          <cell r="K79">
            <v>307</v>
          </cell>
          <cell r="L79">
            <v>104994252.88</v>
          </cell>
          <cell r="M79">
            <v>104994252.88</v>
          </cell>
          <cell r="N79">
            <v>2109436.0700000077</v>
          </cell>
          <cell r="O79">
            <v>66.59</v>
          </cell>
          <cell r="P79">
            <v>1608405</v>
          </cell>
          <cell r="Q79">
            <v>1628828</v>
          </cell>
          <cell r="R79">
            <v>-1359967.57</v>
          </cell>
        </row>
        <row r="80">
          <cell r="A80" t="str">
            <v>IXJ</v>
          </cell>
          <cell r="B80" t="str">
            <v>iShares S&amp;P Global Healthcare ETF</v>
          </cell>
          <cell r="C80" t="str">
            <v>Equity - Global</v>
          </cell>
          <cell r="D80" t="str">
            <v>S&amp;P Global Healthcare</v>
          </cell>
          <cell r="E80" t="str">
            <v>IXJ</v>
          </cell>
          <cell r="F80">
            <v>0.47</v>
          </cell>
          <cell r="G80">
            <v>39883</v>
          </cell>
          <cell r="H80">
            <v>491900794.75</v>
          </cell>
          <cell r="I80">
            <v>12470633.414999999</v>
          </cell>
          <cell r="J80" t="str">
            <v>iShares</v>
          </cell>
          <cell r="K80">
            <v>866</v>
          </cell>
          <cell r="L80">
            <v>485925545.80000007</v>
          </cell>
          <cell r="M80">
            <v>485925545.80000007</v>
          </cell>
          <cell r="N80">
            <v>5975248.9499999285</v>
          </cell>
          <cell r="O80">
            <v>76.03</v>
          </cell>
          <cell r="P80">
            <v>6469825</v>
          </cell>
          <cell r="Q80">
            <v>6485060</v>
          </cell>
          <cell r="R80">
            <v>-1158317.05</v>
          </cell>
        </row>
        <row r="81">
          <cell r="A81" t="str">
            <v>IZZ</v>
          </cell>
          <cell r="B81" t="str">
            <v>iShares FTSE China Large-Cap ETF</v>
          </cell>
          <cell r="C81" t="str">
            <v>Equity - Global</v>
          </cell>
          <cell r="D81" t="str">
            <v>FTSE/Xinhua China 25</v>
          </cell>
          <cell r="E81" t="str">
            <v>IZZ</v>
          </cell>
          <cell r="F81">
            <v>0.74</v>
          </cell>
          <cell r="G81">
            <v>39401</v>
          </cell>
          <cell r="H81">
            <v>96404827.75</v>
          </cell>
          <cell r="I81">
            <v>14199352.5</v>
          </cell>
          <cell r="J81" t="str">
            <v>iShares</v>
          </cell>
          <cell r="K81">
            <v>624</v>
          </cell>
          <cell r="L81">
            <v>100965228.75</v>
          </cell>
          <cell r="M81">
            <v>100965228.75</v>
          </cell>
          <cell r="N81">
            <v>-4560401</v>
          </cell>
          <cell r="O81">
            <v>58.19</v>
          </cell>
          <cell r="P81">
            <v>1656725</v>
          </cell>
          <cell r="Q81">
            <v>1645725</v>
          </cell>
          <cell r="R81">
            <v>640090</v>
          </cell>
        </row>
        <row r="82">
          <cell r="A82" t="str">
            <v>KII</v>
          </cell>
          <cell r="B82" t="str">
            <v>K2 Global Equities Fund (Hedge Fund)</v>
          </cell>
          <cell r="C82" t="str">
            <v>Equity - Global</v>
          </cell>
          <cell r="E82" t="str">
            <v>KII</v>
          </cell>
          <cell r="F82">
            <v>2.7</v>
          </cell>
          <cell r="G82">
            <v>42205</v>
          </cell>
          <cell r="H82">
            <v>17124951.359999999</v>
          </cell>
          <cell r="I82">
            <v>1471874.24</v>
          </cell>
          <cell r="J82" t="str">
            <v>K2</v>
          </cell>
          <cell r="K82">
            <v>21</v>
          </cell>
          <cell r="L82">
            <v>16796080.239999998</v>
          </cell>
          <cell r="M82">
            <v>16796080.239999998</v>
          </cell>
          <cell r="N82">
            <v>328871.12000000104</v>
          </cell>
          <cell r="O82">
            <v>2.72</v>
          </cell>
          <cell r="P82">
            <v>6295937.9999999991</v>
          </cell>
          <cell r="Q82">
            <v>6243895.9999999991</v>
          </cell>
          <cell r="R82">
            <v>141554.24000000002</v>
          </cell>
        </row>
        <row r="83">
          <cell r="A83" t="str">
            <v>KSM</v>
          </cell>
          <cell r="B83" t="str">
            <v>K2 Australian Small Cap Fund (Hedge Fund)</v>
          </cell>
          <cell r="C83" t="str">
            <v>Equity - Australia</v>
          </cell>
          <cell r="E83" t="str">
            <v>KSM</v>
          </cell>
          <cell r="F83">
            <v>2.7</v>
          </cell>
          <cell r="G83">
            <v>42353</v>
          </cell>
          <cell r="H83">
            <v>14002710.48</v>
          </cell>
          <cell r="I83">
            <v>1025786.0699999998</v>
          </cell>
          <cell r="J83" t="str">
            <v>K2</v>
          </cell>
          <cell r="K83">
            <v>18</v>
          </cell>
          <cell r="L83">
            <v>14548789.17</v>
          </cell>
          <cell r="M83">
            <v>14548789.17</v>
          </cell>
          <cell r="N83">
            <v>-546078.68999999948</v>
          </cell>
          <cell r="O83">
            <v>2.42</v>
          </cell>
          <cell r="P83">
            <v>5786244</v>
          </cell>
          <cell r="Q83">
            <v>5531859</v>
          </cell>
          <cell r="R83">
            <v>615611.69999999995</v>
          </cell>
        </row>
        <row r="84">
          <cell r="A84" t="str">
            <v>MGE</v>
          </cell>
          <cell r="B84" t="str">
            <v>Magellan Global Equities Fund (Managed Fund)</v>
          </cell>
          <cell r="C84" t="str">
            <v>Equity - Global</v>
          </cell>
          <cell r="D84" t="str">
            <v>MSCI World Net Total Return Index</v>
          </cell>
          <cell r="E84" t="str">
            <v>MGE</v>
          </cell>
          <cell r="F84">
            <v>1.35</v>
          </cell>
          <cell r="G84">
            <v>42068</v>
          </cell>
          <cell r="H84">
            <v>1051311174.64</v>
          </cell>
          <cell r="I84">
            <v>41369516.670000002</v>
          </cell>
          <cell r="J84" t="str">
            <v>Magellan</v>
          </cell>
          <cell r="K84">
            <v>1577</v>
          </cell>
          <cell r="L84">
            <v>1045918356.5200001</v>
          </cell>
          <cell r="M84">
            <v>1045918356.5200001</v>
          </cell>
          <cell r="N84">
            <v>5392818.1199998856</v>
          </cell>
          <cell r="O84">
            <v>3.14</v>
          </cell>
          <cell r="P84">
            <v>334812476</v>
          </cell>
          <cell r="Q84">
            <v>333095018</v>
          </cell>
          <cell r="R84">
            <v>5392818.1200000001</v>
          </cell>
        </row>
        <row r="85">
          <cell r="A85" t="str">
            <v>MHG</v>
          </cell>
          <cell r="B85" t="str">
            <v>Magellan Global Equities Fund Currency Hedged (Managed Fund)</v>
          </cell>
          <cell r="C85" t="str">
            <v>Equity - Global</v>
          </cell>
          <cell r="D85" t="str">
            <v>MSCI World Net Total Return Index (hedged to AUD)</v>
          </cell>
          <cell r="E85" t="str">
            <v>MHG</v>
          </cell>
          <cell r="F85">
            <v>1.35</v>
          </cell>
          <cell r="G85">
            <v>42226</v>
          </cell>
          <cell r="H85">
            <v>67136730.439999998</v>
          </cell>
          <cell r="I85">
            <v>2538282.5900000008</v>
          </cell>
          <cell r="J85" t="str">
            <v>Magellan</v>
          </cell>
          <cell r="K85">
            <v>93</v>
          </cell>
          <cell r="L85">
            <v>68433360.560000002</v>
          </cell>
          <cell r="M85">
            <v>68433360.560000002</v>
          </cell>
          <cell r="N85">
            <v>-1296630.1200000048</v>
          </cell>
          <cell r="O85">
            <v>2.99</v>
          </cell>
          <cell r="P85">
            <v>22453755.999999996</v>
          </cell>
          <cell r="Q85">
            <v>22004296</v>
          </cell>
          <cell r="R85">
            <v>1343885.399999989</v>
          </cell>
        </row>
        <row r="86">
          <cell r="A86" t="str">
            <v>MICH</v>
          </cell>
          <cell r="B86" t="str">
            <v>Magellan Infrastructure Fund (Currency Hedged) (Managed Fund)</v>
          </cell>
          <cell r="C86" t="str">
            <v>Infrastructure</v>
          </cell>
          <cell r="E86" t="str">
            <v>MICH</v>
          </cell>
          <cell r="F86">
            <v>1.05</v>
          </cell>
          <cell r="G86">
            <v>42573</v>
          </cell>
          <cell r="H86">
            <v>179302218.72</v>
          </cell>
          <cell r="I86">
            <v>6639642.7899999991</v>
          </cell>
          <cell r="J86" t="str">
            <v>Magellan</v>
          </cell>
          <cell r="K86">
            <v>347</v>
          </cell>
          <cell r="L86">
            <v>174348247.79999998</v>
          </cell>
          <cell r="M86">
            <v>174348247.79999998</v>
          </cell>
          <cell r="N86">
            <v>4953970.9200000167</v>
          </cell>
          <cell r="O86">
            <v>2.76</v>
          </cell>
          <cell r="P86">
            <v>64964572.000000007</v>
          </cell>
          <cell r="Q86">
            <v>63169655</v>
          </cell>
          <cell r="R86">
            <v>4953970.9200000204</v>
          </cell>
        </row>
        <row r="87">
          <cell r="A87" t="str">
            <v>MNRS</v>
          </cell>
          <cell r="B87" t="str">
            <v>BetaShares Global Gold Miners ETF - Currency Hedged</v>
          </cell>
          <cell r="C87" t="str">
            <v>Equity - Global</v>
          </cell>
          <cell r="D87" t="str">
            <v>Nasdaq Global ex-Australia Gold Miners Hedged AUD Index</v>
          </cell>
          <cell r="E87" t="str">
            <v>MNRS</v>
          </cell>
          <cell r="F87">
            <v>0.57000000000000006</v>
          </cell>
          <cell r="G87">
            <v>42580</v>
          </cell>
          <cell r="H87">
            <v>5082707.8499999996</v>
          </cell>
          <cell r="I87">
            <v>995997.39999999991</v>
          </cell>
          <cell r="J87" t="str">
            <v>BetaShares</v>
          </cell>
          <cell r="K87">
            <v>71</v>
          </cell>
          <cell r="L87">
            <v>5096709.8</v>
          </cell>
          <cell r="M87">
            <v>5096709.8</v>
          </cell>
          <cell r="N87">
            <v>-14001.950000000186</v>
          </cell>
          <cell r="O87">
            <v>3.63</v>
          </cell>
          <cell r="P87">
            <v>1400195</v>
          </cell>
          <cell r="Q87">
            <v>1400195</v>
          </cell>
          <cell r="R87">
            <v>0</v>
          </cell>
        </row>
        <row r="88">
          <cell r="A88" t="str">
            <v>MOAT</v>
          </cell>
          <cell r="B88" t="str">
            <v>VanEck Vectors Morningstar Wide Moat ETF</v>
          </cell>
          <cell r="C88" t="str">
            <v>Equity - Global</v>
          </cell>
          <cell r="D88" t="str">
            <v>Morningstar Wide Moat Focus Index</v>
          </cell>
          <cell r="E88" t="str">
            <v>MOAT</v>
          </cell>
          <cell r="F88">
            <v>0.49</v>
          </cell>
          <cell r="G88">
            <v>42181</v>
          </cell>
          <cell r="H88">
            <v>58902108</v>
          </cell>
          <cell r="I88">
            <v>1717761.57</v>
          </cell>
          <cell r="J88" t="str">
            <v>VanEck</v>
          </cell>
          <cell r="K88">
            <v>175</v>
          </cell>
          <cell r="L88">
            <v>55749528</v>
          </cell>
          <cell r="M88">
            <v>55749528</v>
          </cell>
          <cell r="N88">
            <v>3152580</v>
          </cell>
          <cell r="O88">
            <v>59.21</v>
          </cell>
          <cell r="P88">
            <v>994800</v>
          </cell>
          <cell r="Q88">
            <v>984800</v>
          </cell>
          <cell r="R88">
            <v>592100</v>
          </cell>
        </row>
        <row r="89">
          <cell r="A89" t="str">
            <v>MOGL</v>
          </cell>
          <cell r="B89" t="str">
            <v>Montgomery Global Equities Fund (Managed Fund)</v>
          </cell>
          <cell r="C89" t="str">
            <v>Equity - Global</v>
          </cell>
          <cell r="E89" t="str">
            <v>MOGL</v>
          </cell>
          <cell r="F89">
            <v>1.32</v>
          </cell>
          <cell r="G89">
            <v>43089</v>
          </cell>
          <cell r="H89">
            <v>81281129.599999994</v>
          </cell>
          <cell r="I89">
            <v>4567863.7399999993</v>
          </cell>
          <cell r="J89" t="str">
            <v>Montgomery</v>
          </cell>
          <cell r="K89">
            <v>229</v>
          </cell>
          <cell r="L89">
            <v>78795466.299999997</v>
          </cell>
          <cell r="M89">
            <v>78795466.299999997</v>
          </cell>
          <cell r="N89">
            <v>2485663.299999997</v>
          </cell>
          <cell r="O89">
            <v>3.52</v>
          </cell>
          <cell r="P89">
            <v>23091230</v>
          </cell>
          <cell r="Q89">
            <v>22195906</v>
          </cell>
          <cell r="R89">
            <v>3151540.48</v>
          </cell>
        </row>
        <row r="90">
          <cell r="A90" t="str">
            <v>MONY</v>
          </cell>
          <cell r="B90" t="str">
            <v>UBS IQ Cash ETF</v>
          </cell>
          <cell r="C90" t="str">
            <v>Fixed Income - Australia</v>
          </cell>
          <cell r="D90" t="str">
            <v>Reserve Bank of Australia Official Cash Rate</v>
          </cell>
          <cell r="E90" t="str">
            <v>MONY</v>
          </cell>
          <cell r="F90">
            <v>0.18</v>
          </cell>
          <cell r="G90">
            <v>42881</v>
          </cell>
          <cell r="H90">
            <v>1000180</v>
          </cell>
          <cell r="I90">
            <v>100120.02</v>
          </cell>
          <cell r="J90" t="str">
            <v>UBS</v>
          </cell>
          <cell r="K90">
            <v>2</v>
          </cell>
          <cell r="L90">
            <v>1000640.0700000001</v>
          </cell>
          <cell r="M90">
            <v>1000640.0700000001</v>
          </cell>
          <cell r="N90">
            <v>-460.07000000006519</v>
          </cell>
          <cell r="O90">
            <v>20</v>
          </cell>
          <cell r="P90">
            <v>50009</v>
          </cell>
          <cell r="Q90">
            <v>50007</v>
          </cell>
          <cell r="R90">
            <v>40</v>
          </cell>
        </row>
        <row r="91">
          <cell r="A91" t="str">
            <v>MVA</v>
          </cell>
          <cell r="B91" t="str">
            <v>VanEck Vectors Australian Property ETF</v>
          </cell>
          <cell r="C91" t="str">
            <v>Property - Australia</v>
          </cell>
          <cell r="D91" t="str">
            <v>VanEck Australian A-REIT Index</v>
          </cell>
          <cell r="E91" t="str">
            <v>MVA</v>
          </cell>
          <cell r="F91">
            <v>0.35</v>
          </cell>
          <cell r="G91">
            <v>41563</v>
          </cell>
          <cell r="H91">
            <v>119868677.39</v>
          </cell>
          <cell r="I91">
            <v>4859320.43</v>
          </cell>
          <cell r="J91" t="str">
            <v>VanEck</v>
          </cell>
          <cell r="K91">
            <v>215</v>
          </cell>
          <cell r="L91">
            <v>115634032.64</v>
          </cell>
          <cell r="M91">
            <v>115634032.64</v>
          </cell>
          <cell r="N91">
            <v>4234644.75</v>
          </cell>
          <cell r="O91">
            <v>21.23</v>
          </cell>
          <cell r="P91">
            <v>5646193</v>
          </cell>
          <cell r="Q91">
            <v>5646193</v>
          </cell>
          <cell r="R91">
            <v>0</v>
          </cell>
        </row>
        <row r="92">
          <cell r="A92" t="str">
            <v>MVB</v>
          </cell>
          <cell r="B92" t="str">
            <v>VanEck Vectors Australian Bank ETF</v>
          </cell>
          <cell r="C92" t="str">
            <v>Equity - Australia</v>
          </cell>
          <cell r="D92" t="str">
            <v>VanEck Australian Banks Index</v>
          </cell>
          <cell r="E92" t="str">
            <v>MVB</v>
          </cell>
          <cell r="F92">
            <v>0.28000000000000003</v>
          </cell>
          <cell r="G92">
            <v>41563</v>
          </cell>
          <cell r="H92">
            <v>35445832.240000002</v>
          </cell>
          <cell r="I92">
            <v>6929093.29</v>
          </cell>
          <cell r="J92" t="str">
            <v>VanEck</v>
          </cell>
          <cell r="K92">
            <v>188</v>
          </cell>
          <cell r="L92">
            <v>30500957.48</v>
          </cell>
          <cell r="M92">
            <v>30500957.48</v>
          </cell>
          <cell r="N92">
            <v>4944874.7600000016</v>
          </cell>
          <cell r="O92">
            <v>27.86</v>
          </cell>
          <cell r="P92">
            <v>1272284</v>
          </cell>
          <cell r="Q92">
            <v>1152284</v>
          </cell>
          <cell r="R92">
            <v>3343200</v>
          </cell>
        </row>
        <row r="93">
          <cell r="A93" t="str">
            <v>MVE</v>
          </cell>
          <cell r="B93" t="str">
            <v>VanEck Vectors S&amp;P/ASX MidCap 50 ETF</v>
          </cell>
          <cell r="C93" t="str">
            <v>Equity - Australia</v>
          </cell>
          <cell r="D93" t="str">
            <v>S&amp;P/ASX MidCap 50 Index</v>
          </cell>
          <cell r="E93" t="str">
            <v>MVE</v>
          </cell>
          <cell r="F93">
            <v>0.45</v>
          </cell>
          <cell r="G93">
            <v>41563</v>
          </cell>
          <cell r="H93">
            <v>88815787.200000003</v>
          </cell>
          <cell r="I93">
            <v>6279549.4699999997</v>
          </cell>
          <cell r="J93" t="str">
            <v>VanEck</v>
          </cell>
          <cell r="K93">
            <v>183</v>
          </cell>
          <cell r="L93">
            <v>81151461.439999998</v>
          </cell>
          <cell r="M93">
            <v>81151461.439999998</v>
          </cell>
          <cell r="N93">
            <v>7664325.7600000054</v>
          </cell>
          <cell r="O93">
            <v>28.35</v>
          </cell>
          <cell r="P93">
            <v>3132832</v>
          </cell>
          <cell r="Q93">
            <v>2932831.9999999995</v>
          </cell>
          <cell r="R93">
            <v>5670000.000000013</v>
          </cell>
        </row>
        <row r="94">
          <cell r="A94" t="str">
            <v>MVOL</v>
          </cell>
          <cell r="B94" t="str">
            <v>iShares Edge MSCI Australia Minimum Volatility ETF</v>
          </cell>
          <cell r="C94" t="str">
            <v>Equity - Australia</v>
          </cell>
          <cell r="D94" t="str">
            <v>MSCI Australia IMI Select Minimum Volatility Index</v>
          </cell>
          <cell r="E94" t="str">
            <v>MVOL</v>
          </cell>
          <cell r="F94">
            <v>0.3</v>
          </cell>
          <cell r="G94">
            <v>42657</v>
          </cell>
          <cell r="H94">
            <v>2281681.5</v>
          </cell>
          <cell r="I94">
            <v>147349.02999999997</v>
          </cell>
          <cell r="J94" t="str">
            <v>iShares</v>
          </cell>
          <cell r="K94">
            <v>20</v>
          </cell>
          <cell r="L94">
            <v>6584818.3700000001</v>
          </cell>
          <cell r="M94">
            <v>6584818.3700000001</v>
          </cell>
          <cell r="N94">
            <v>-4303136.87</v>
          </cell>
          <cell r="O94">
            <v>28.5</v>
          </cell>
          <cell r="P94">
            <v>80059</v>
          </cell>
          <cell r="Q94">
            <v>240059</v>
          </cell>
          <cell r="R94">
            <v>-4560000</v>
          </cell>
        </row>
        <row r="95">
          <cell r="A95" t="str">
            <v>MVR</v>
          </cell>
          <cell r="B95" t="str">
            <v>VanEck Vectors Australian Resources ETF</v>
          </cell>
          <cell r="C95" t="str">
            <v>Equity - Australia</v>
          </cell>
          <cell r="D95" t="str">
            <v>VanEck Australian Energy &amp; Mining Index</v>
          </cell>
          <cell r="E95" t="str">
            <v>MVR</v>
          </cell>
          <cell r="F95">
            <v>0.35</v>
          </cell>
          <cell r="G95">
            <v>41563</v>
          </cell>
          <cell r="H95">
            <v>96844465.399999991</v>
          </cell>
          <cell r="I95">
            <v>2271637.1499999994</v>
          </cell>
          <cell r="J95" t="str">
            <v>VanEck</v>
          </cell>
          <cell r="K95">
            <v>114</v>
          </cell>
          <cell r="L95">
            <v>90899311.019999996</v>
          </cell>
          <cell r="M95">
            <v>90899311.019999996</v>
          </cell>
          <cell r="N95">
            <v>5945154.3799999952</v>
          </cell>
          <cell r="O95">
            <v>26.9</v>
          </cell>
          <cell r="P95">
            <v>3600166</v>
          </cell>
          <cell r="Q95">
            <v>3500166</v>
          </cell>
          <cell r="R95">
            <v>2690000</v>
          </cell>
        </row>
        <row r="96">
          <cell r="A96" t="str">
            <v>MVS</v>
          </cell>
          <cell r="B96" t="str">
            <v>VanEck Vectors Small Companies Masters ETF</v>
          </cell>
          <cell r="C96" t="str">
            <v>Equity - Australia</v>
          </cell>
          <cell r="D96" t="str">
            <v>VanEck Australia Small-Cap Dividend Payers Index</v>
          </cell>
          <cell r="E96" t="str">
            <v>MVS</v>
          </cell>
          <cell r="F96">
            <v>0.49</v>
          </cell>
          <cell r="G96">
            <v>42152</v>
          </cell>
          <cell r="H96">
            <v>70484267.040000007</v>
          </cell>
          <cell r="I96">
            <v>5233141.0399999991</v>
          </cell>
          <cell r="J96" t="str">
            <v>VanEck</v>
          </cell>
          <cell r="K96">
            <v>164</v>
          </cell>
          <cell r="L96">
            <v>69105519.450000003</v>
          </cell>
          <cell r="M96">
            <v>69105519.450000003</v>
          </cell>
          <cell r="N96">
            <v>1378747.5900000036</v>
          </cell>
          <cell r="O96">
            <v>20.96</v>
          </cell>
          <cell r="P96">
            <v>3362799</v>
          </cell>
          <cell r="Q96">
            <v>3362799</v>
          </cell>
          <cell r="R96">
            <v>0</v>
          </cell>
        </row>
        <row r="97">
          <cell r="A97" t="str">
            <v>MVW</v>
          </cell>
          <cell r="B97" t="str">
            <v>VanEck Vectors Australian Equal Weight ETF</v>
          </cell>
          <cell r="C97" t="str">
            <v>Equity - Australia</v>
          </cell>
          <cell r="E97" t="str">
            <v>MVW</v>
          </cell>
          <cell r="F97">
            <v>0.35</v>
          </cell>
          <cell r="G97">
            <v>41704</v>
          </cell>
          <cell r="H97">
            <v>524032938</v>
          </cell>
          <cell r="I97">
            <v>34130838.820000008</v>
          </cell>
          <cell r="J97" t="str">
            <v>VanEck</v>
          </cell>
          <cell r="K97">
            <v>1039</v>
          </cell>
          <cell r="L97">
            <v>495328772.10000002</v>
          </cell>
          <cell r="M97">
            <v>495328772.10000002</v>
          </cell>
          <cell r="N97">
            <v>28704165.899999976</v>
          </cell>
          <cell r="O97">
            <v>28.6</v>
          </cell>
          <cell r="P97">
            <v>18322830</v>
          </cell>
          <cell r="Q97">
            <v>17772830</v>
          </cell>
          <cell r="R97">
            <v>15730000</v>
          </cell>
        </row>
        <row r="98">
          <cell r="A98" t="str">
            <v>NDQ</v>
          </cell>
          <cell r="B98" t="str">
            <v>BetaShares NASDAQ 100 ETF</v>
          </cell>
          <cell r="C98" t="str">
            <v>Equity - Global</v>
          </cell>
          <cell r="D98" t="str">
            <v>NASDAQ 100</v>
          </cell>
          <cell r="E98" t="str">
            <v>NDQ</v>
          </cell>
          <cell r="F98">
            <v>0.48</v>
          </cell>
          <cell r="G98">
            <v>42150</v>
          </cell>
          <cell r="H98">
            <v>340611669.42000002</v>
          </cell>
          <cell r="I98">
            <v>46389504.669999994</v>
          </cell>
          <cell r="J98" t="str">
            <v>BetaShares</v>
          </cell>
          <cell r="K98">
            <v>2196</v>
          </cell>
          <cell r="L98">
            <v>306658073.10000002</v>
          </cell>
          <cell r="M98">
            <v>306658073.10000002</v>
          </cell>
          <cell r="N98">
            <v>33953596.319999993</v>
          </cell>
          <cell r="O98">
            <v>16.61</v>
          </cell>
          <cell r="P98">
            <v>20506422</v>
          </cell>
          <cell r="Q98">
            <v>19106422</v>
          </cell>
          <cell r="R98">
            <v>23254000</v>
          </cell>
        </row>
        <row r="99">
          <cell r="A99" t="str">
            <v>OOO</v>
          </cell>
          <cell r="B99" t="str">
            <v>BetaShares Crude Oil Index ETF-Currency Hedged (Synthetic)</v>
          </cell>
          <cell r="C99" t="str">
            <v xml:space="preserve">Commodity </v>
          </cell>
          <cell r="D99" t="str">
            <v>Crude Oil</v>
          </cell>
          <cell r="E99" t="str">
            <v>OOO</v>
          </cell>
          <cell r="F99">
            <v>0.69</v>
          </cell>
          <cell r="G99">
            <v>40863</v>
          </cell>
          <cell r="H99">
            <v>32777683.879999999</v>
          </cell>
          <cell r="I99">
            <v>6441372.2800000012</v>
          </cell>
          <cell r="J99" t="str">
            <v>BetaShares</v>
          </cell>
          <cell r="K99">
            <v>265</v>
          </cell>
          <cell r="L99">
            <v>30574277.260000002</v>
          </cell>
          <cell r="M99">
            <v>30574277.260000002</v>
          </cell>
          <cell r="N99">
            <v>2203406.6199999973</v>
          </cell>
          <cell r="O99">
            <v>20.38</v>
          </cell>
          <cell r="P99">
            <v>1608326</v>
          </cell>
          <cell r="Q99">
            <v>1608326</v>
          </cell>
          <cell r="R99">
            <v>0</v>
          </cell>
        </row>
        <row r="100">
          <cell r="A100" t="str">
            <v>OZF</v>
          </cell>
          <cell r="B100" t="str">
            <v>SPDR S&amp;P/ASX 200 Financials ex A-REITs Fund</v>
          </cell>
          <cell r="C100" t="str">
            <v>Equity - Australia</v>
          </cell>
          <cell r="D100" t="str">
            <v>S&amp;P/ASX 200 Financials x- A-REITS</v>
          </cell>
          <cell r="E100" t="str">
            <v>OZF</v>
          </cell>
          <cell r="F100">
            <v>0.4</v>
          </cell>
          <cell r="G100">
            <v>40646</v>
          </cell>
          <cell r="H100">
            <v>62907638.969999999</v>
          </cell>
          <cell r="I100">
            <v>2661776.6399999997</v>
          </cell>
          <cell r="J100" t="str">
            <v>StateStreet</v>
          </cell>
          <cell r="K100">
            <v>132</v>
          </cell>
          <cell r="L100">
            <v>58837592.049999997</v>
          </cell>
          <cell r="M100">
            <v>63240182.039999999</v>
          </cell>
          <cell r="N100">
            <v>4070046.9200000018</v>
          </cell>
          <cell r="O100">
            <v>20.13</v>
          </cell>
          <cell r="P100">
            <v>3125069</v>
          </cell>
          <cell r="Q100">
            <v>3025069</v>
          </cell>
          <cell r="R100">
            <v>2013000</v>
          </cell>
        </row>
        <row r="101">
          <cell r="A101" t="str">
            <v>OZR</v>
          </cell>
          <cell r="B101" t="str">
            <v xml:space="preserve">SPDR S&amp;P/ASX 200 Resource Fund </v>
          </cell>
          <cell r="C101" t="str">
            <v>Equity - Australia</v>
          </cell>
          <cell r="D101" t="str">
            <v>S&amp;P/ASX 200 Resources</v>
          </cell>
          <cell r="E101" t="str">
            <v>OZR</v>
          </cell>
          <cell r="F101">
            <v>0.4</v>
          </cell>
          <cell r="G101">
            <v>40646</v>
          </cell>
          <cell r="H101">
            <v>73439931.840000004</v>
          </cell>
          <cell r="I101">
            <v>6956634.2000000002</v>
          </cell>
          <cell r="J101" t="str">
            <v>StateStreet</v>
          </cell>
          <cell r="K101">
            <v>285</v>
          </cell>
          <cell r="L101">
            <v>68532387.840000004</v>
          </cell>
          <cell r="M101">
            <v>68532387.840000004</v>
          </cell>
          <cell r="N101">
            <v>4907544</v>
          </cell>
          <cell r="O101">
            <v>11.09</v>
          </cell>
          <cell r="P101">
            <v>6622176</v>
          </cell>
          <cell r="Q101">
            <v>6322176</v>
          </cell>
          <cell r="R101">
            <v>3327000</v>
          </cell>
        </row>
        <row r="102">
          <cell r="A102" t="str">
            <v>PAXX</v>
          </cell>
          <cell r="B102" t="str">
            <v>Platinum Asia Fund (Quoted Managed Hedge Fund)</v>
          </cell>
          <cell r="C102" t="str">
            <v>Equity - Global</v>
          </cell>
          <cell r="D102" t="str">
            <v>Platinum Asia Fund</v>
          </cell>
          <cell r="E102" t="str">
            <v>PAXX</v>
          </cell>
          <cell r="F102">
            <v>1.1000000000000001</v>
          </cell>
          <cell r="G102">
            <v>42992</v>
          </cell>
          <cell r="H102">
            <v>92218026.640000001</v>
          </cell>
          <cell r="I102">
            <v>12720772.630000003</v>
          </cell>
          <cell r="J102" t="str">
            <v>Platinum</v>
          </cell>
          <cell r="K102">
            <v>612</v>
          </cell>
          <cell r="L102">
            <v>106760829.28</v>
          </cell>
          <cell r="M102">
            <v>106760829.28</v>
          </cell>
          <cell r="N102">
            <v>-14542802.640000001</v>
          </cell>
          <cell r="O102">
            <v>4.49</v>
          </cell>
          <cell r="P102">
            <v>20538536</v>
          </cell>
          <cell r="Q102">
            <v>18697168</v>
          </cell>
          <cell r="R102">
            <v>8267742.3200000003</v>
          </cell>
        </row>
        <row r="103">
          <cell r="A103" t="str">
            <v>PIXX</v>
          </cell>
          <cell r="B103" t="str">
            <v>Platinum International Fund (Quoted Managed Hedge Fund)</v>
          </cell>
          <cell r="C103" t="str">
            <v>Equity - Global</v>
          </cell>
          <cell r="D103" t="str">
            <v>Platinum International Fund</v>
          </cell>
          <cell r="E103" t="str">
            <v>PIXX</v>
          </cell>
          <cell r="F103">
            <v>1.1000000000000001</v>
          </cell>
          <cell r="G103">
            <v>42992</v>
          </cell>
          <cell r="H103">
            <v>210873868.00999999</v>
          </cell>
          <cell r="I103">
            <v>24709116.649999999</v>
          </cell>
          <cell r="J103" t="str">
            <v>Platinum</v>
          </cell>
          <cell r="K103">
            <v>913</v>
          </cell>
          <cell r="L103">
            <v>223581056.25</v>
          </cell>
          <cell r="M103">
            <v>223581056.25</v>
          </cell>
          <cell r="N103">
            <v>-12707188.24000001</v>
          </cell>
          <cell r="O103">
            <v>4.8099999999999996</v>
          </cell>
          <cell r="P103">
            <v>43840721</v>
          </cell>
          <cell r="Q103">
            <v>40284875</v>
          </cell>
          <cell r="R103">
            <v>17103619.259999998</v>
          </cell>
        </row>
        <row r="104">
          <cell r="A104" t="str">
            <v>PLUS</v>
          </cell>
          <cell r="B104" t="str">
            <v>VanEck Vectors Australian Corporate Bond Plus ETF</v>
          </cell>
          <cell r="C104" t="str">
            <v>Fixed Income - Australia</v>
          </cell>
          <cell r="D104" t="str">
            <v>Markit iBoxx AUD Corporates Yield Plus Index</v>
          </cell>
          <cell r="E104" t="str">
            <v>PLUS</v>
          </cell>
          <cell r="F104">
            <v>0.32</v>
          </cell>
          <cell r="G104">
            <v>42866</v>
          </cell>
          <cell r="H104">
            <v>195444392.5</v>
          </cell>
          <cell r="I104">
            <v>12410015.115</v>
          </cell>
          <cell r="J104" t="str">
            <v>VanEck</v>
          </cell>
          <cell r="K104">
            <v>494</v>
          </cell>
          <cell r="L104">
            <v>187556979.94999999</v>
          </cell>
          <cell r="M104">
            <v>187556979.94999999</v>
          </cell>
          <cell r="N104">
            <v>7887412.5500000119</v>
          </cell>
          <cell r="O104">
            <v>17.5</v>
          </cell>
          <cell r="P104">
            <v>11168251</v>
          </cell>
          <cell r="Q104">
            <v>10748251</v>
          </cell>
          <cell r="R104">
            <v>7350000</v>
          </cell>
        </row>
        <row r="105">
          <cell r="A105" t="str">
            <v>PMGOLD</v>
          </cell>
          <cell r="B105" t="str">
            <v>Perth Mint Gold</v>
          </cell>
          <cell r="C105" t="str">
            <v xml:space="preserve">Commodity </v>
          </cell>
          <cell r="D105" t="str">
            <v>Gold</v>
          </cell>
          <cell r="E105" t="str">
            <v>PMGOLD</v>
          </cell>
          <cell r="F105">
            <v>0.15</v>
          </cell>
          <cell r="G105">
            <v>40541</v>
          </cell>
          <cell r="H105">
            <v>132542236.94999999</v>
          </cell>
          <cell r="I105">
            <v>3552361.2400000007</v>
          </cell>
          <cell r="J105" t="str">
            <v>The Perth Mint</v>
          </cell>
          <cell r="K105">
            <v>211</v>
          </cell>
          <cell r="L105">
            <v>134257576.80000001</v>
          </cell>
          <cell r="M105">
            <v>134257576.80000001</v>
          </cell>
          <cell r="N105">
            <v>-1715339.8500000238</v>
          </cell>
          <cell r="O105">
            <v>16.95</v>
          </cell>
          <cell r="P105">
            <v>7819601</v>
          </cell>
          <cell r="Q105">
            <v>7814760.0000000009</v>
          </cell>
          <cell r="R105">
            <v>82054.949999984208</v>
          </cell>
        </row>
        <row r="106">
          <cell r="A106" t="str">
            <v>POU</v>
          </cell>
          <cell r="B106" t="str">
            <v>BetaShares British Pound ETF</v>
          </cell>
          <cell r="C106" t="str">
            <v>Currency</v>
          </cell>
          <cell r="D106" t="str">
            <v>British Pounds</v>
          </cell>
          <cell r="E106" t="str">
            <v>POU</v>
          </cell>
          <cell r="F106">
            <v>0.45</v>
          </cell>
          <cell r="G106">
            <v>40735</v>
          </cell>
          <cell r="H106">
            <v>20980400.84</v>
          </cell>
          <cell r="I106">
            <v>2694330.0300000003</v>
          </cell>
          <cell r="J106" t="str">
            <v>BetaShares</v>
          </cell>
          <cell r="K106">
            <v>97</v>
          </cell>
          <cell r="L106">
            <v>22882248.719999999</v>
          </cell>
          <cell r="M106">
            <v>22882248.719999999</v>
          </cell>
          <cell r="N106">
            <v>-1901847.879999999</v>
          </cell>
          <cell r="O106">
            <v>17.54</v>
          </cell>
          <cell r="P106">
            <v>1196146</v>
          </cell>
          <cell r="Q106">
            <v>1321146</v>
          </cell>
          <cell r="R106">
            <v>-2192500</v>
          </cell>
        </row>
        <row r="107">
          <cell r="A107" t="str">
            <v>QAG</v>
          </cell>
          <cell r="B107" t="str">
            <v>BetaShares Agriculture ETF-Currency Hedged (Synthetic)</v>
          </cell>
          <cell r="C107" t="str">
            <v xml:space="preserve">Commodity </v>
          </cell>
          <cell r="D107" t="str">
            <v>S&amp;P GSCI Agriculture Enhanced Select Index Excess Return</v>
          </cell>
          <cell r="E107" t="str">
            <v>QAG</v>
          </cell>
          <cell r="F107">
            <v>0.69</v>
          </cell>
          <cell r="G107">
            <v>40879</v>
          </cell>
          <cell r="H107">
            <v>2918663.44</v>
          </cell>
          <cell r="I107">
            <v>467157.95999999996</v>
          </cell>
          <cell r="J107" t="str">
            <v>BetaShares</v>
          </cell>
          <cell r="K107">
            <v>38</v>
          </cell>
          <cell r="L107">
            <v>3293850.56</v>
          </cell>
          <cell r="M107">
            <v>3293850.56</v>
          </cell>
          <cell r="N107">
            <v>-375187.12000000011</v>
          </cell>
          <cell r="O107">
            <v>5.99</v>
          </cell>
          <cell r="P107">
            <v>487256</v>
          </cell>
          <cell r="Q107">
            <v>487256</v>
          </cell>
          <cell r="R107">
            <v>0</v>
          </cell>
        </row>
        <row r="108">
          <cell r="A108" t="str">
            <v>QAU</v>
          </cell>
          <cell r="B108" t="str">
            <v>BetaShares Gold Bullion ETF (AU$ Hedged)</v>
          </cell>
          <cell r="C108" t="str">
            <v xml:space="preserve">Commodity </v>
          </cell>
          <cell r="D108" t="str">
            <v xml:space="preserve">Gold (hedged) </v>
          </cell>
          <cell r="E108" t="str">
            <v>QAU</v>
          </cell>
          <cell r="F108">
            <v>0.59</v>
          </cell>
          <cell r="G108">
            <v>40667</v>
          </cell>
          <cell r="H108">
            <v>57208294.880000003</v>
          </cell>
          <cell r="I108">
            <v>2964853.7</v>
          </cell>
          <cell r="J108" t="str">
            <v>BetaShares</v>
          </cell>
          <cell r="K108">
            <v>181</v>
          </cell>
          <cell r="L108">
            <v>58250080.449999996</v>
          </cell>
          <cell r="M108">
            <v>58250080.449999996</v>
          </cell>
          <cell r="N108">
            <v>-1041785.5699999928</v>
          </cell>
          <cell r="O108">
            <v>12.89</v>
          </cell>
          <cell r="P108">
            <v>4438192</v>
          </cell>
          <cell r="Q108">
            <v>4330861</v>
          </cell>
          <cell r="R108">
            <v>1383496.59</v>
          </cell>
        </row>
        <row r="109">
          <cell r="A109" t="str">
            <v>QCB</v>
          </cell>
          <cell r="B109" t="str">
            <v>BetaShares Commodities Basket ETF-Currency Hedged (Synthetic)</v>
          </cell>
          <cell r="C109" t="str">
            <v xml:space="preserve">Commodity </v>
          </cell>
          <cell r="D109" t="str">
            <v>S&amp;P GSCI Light Energy Index Excess Return (Hedged)</v>
          </cell>
          <cell r="E109" t="str">
            <v>QCB</v>
          </cell>
          <cell r="F109">
            <v>0.69</v>
          </cell>
          <cell r="G109">
            <v>40892</v>
          </cell>
          <cell r="H109">
            <v>11067460</v>
          </cell>
          <cell r="I109">
            <v>766147.94</v>
          </cell>
          <cell r="J109" t="str">
            <v>BetaShares</v>
          </cell>
          <cell r="K109">
            <v>77</v>
          </cell>
          <cell r="L109">
            <v>11584316</v>
          </cell>
          <cell r="M109">
            <v>11584316</v>
          </cell>
          <cell r="N109">
            <v>-516856</v>
          </cell>
          <cell r="O109">
            <v>9.85</v>
          </cell>
          <cell r="P109">
            <v>1123600</v>
          </cell>
          <cell r="Q109">
            <v>1123600</v>
          </cell>
          <cell r="R109">
            <v>0</v>
          </cell>
        </row>
        <row r="110">
          <cell r="A110" t="str">
            <v>QFN</v>
          </cell>
          <cell r="B110" t="str">
            <v xml:space="preserve">BetaShares S&amp;P/ASX 200 Financials Sector ETF </v>
          </cell>
          <cell r="C110" t="str">
            <v>Equity - Australia</v>
          </cell>
          <cell r="D110" t="str">
            <v>S&amp;P/ASX 200 Financials</v>
          </cell>
          <cell r="E110" t="str">
            <v>QFN</v>
          </cell>
          <cell r="F110">
            <v>0.39</v>
          </cell>
          <cell r="G110">
            <v>40527</v>
          </cell>
          <cell r="H110">
            <v>22259540.550000001</v>
          </cell>
          <cell r="I110">
            <v>1346341.8</v>
          </cell>
          <cell r="J110" t="str">
            <v>BetaShares</v>
          </cell>
          <cell r="K110">
            <v>65</v>
          </cell>
          <cell r="L110">
            <v>21377003.699999999</v>
          </cell>
          <cell r="M110">
            <v>21377003.699999999</v>
          </cell>
          <cell r="N110">
            <v>882536.85000000149</v>
          </cell>
          <cell r="O110">
            <v>11.35</v>
          </cell>
          <cell r="P110">
            <v>1961193.0000000002</v>
          </cell>
          <cell r="Q110">
            <v>1961192.9999999998</v>
          </cell>
          <cell r="R110">
            <v>5.2852556109428404E-9</v>
          </cell>
        </row>
        <row r="111">
          <cell r="A111" t="str">
            <v>QMIX</v>
          </cell>
          <cell r="B111" t="str">
            <v>SPDR MSCI World Quality Mix Fund</v>
          </cell>
          <cell r="C111" t="str">
            <v>Equity - Global</v>
          </cell>
          <cell r="D111" t="str">
            <v>MSCI World Quality Mix Index</v>
          </cell>
          <cell r="E111" t="str">
            <v>QMIX</v>
          </cell>
          <cell r="F111">
            <v>0.4</v>
          </cell>
          <cell r="G111">
            <v>42261</v>
          </cell>
          <cell r="H111">
            <v>8439519.2400000002</v>
          </cell>
          <cell r="I111">
            <v>332633.01</v>
          </cell>
          <cell r="J111" t="str">
            <v>StateStreet</v>
          </cell>
          <cell r="K111">
            <v>11</v>
          </cell>
          <cell r="L111">
            <v>8398550.6999999993</v>
          </cell>
          <cell r="M111">
            <v>8398550.6999999993</v>
          </cell>
          <cell r="N111">
            <v>40968.540000000969</v>
          </cell>
          <cell r="O111">
            <v>18.54</v>
          </cell>
          <cell r="P111">
            <v>455206.00000000006</v>
          </cell>
          <cell r="Q111">
            <v>455206</v>
          </cell>
          <cell r="R111">
            <v>1.0791700333356857E-9</v>
          </cell>
        </row>
        <row r="112">
          <cell r="A112" t="str">
            <v>QOZ</v>
          </cell>
          <cell r="B112" t="str">
            <v>BetaShares FTSE RAFI Australia 200 ETF</v>
          </cell>
          <cell r="C112" t="str">
            <v>Equity - Australia</v>
          </cell>
          <cell r="D112" t="str">
            <v>FTSE RAFI Australia 200</v>
          </cell>
          <cell r="E112" t="str">
            <v>QOZ</v>
          </cell>
          <cell r="F112">
            <v>0.4</v>
          </cell>
          <cell r="G112">
            <v>41466</v>
          </cell>
          <cell r="H112">
            <v>289169369.66999996</v>
          </cell>
          <cell r="I112">
            <v>35577407.009999998</v>
          </cell>
          <cell r="J112" t="str">
            <v>BetaShares</v>
          </cell>
          <cell r="K112">
            <v>515</v>
          </cell>
          <cell r="L112">
            <v>265307219.94000003</v>
          </cell>
          <cell r="M112">
            <v>265307219.94000003</v>
          </cell>
          <cell r="N112">
            <v>23862149.72999993</v>
          </cell>
          <cell r="O112">
            <v>14.03</v>
          </cell>
          <cell r="P112">
            <v>20610788.999999996</v>
          </cell>
          <cell r="Q112">
            <v>19710789</v>
          </cell>
          <cell r="R112">
            <v>12626999.999999948</v>
          </cell>
        </row>
        <row r="113">
          <cell r="A113" t="str">
            <v>QPON</v>
          </cell>
          <cell r="B113" t="str">
            <v>BetaShares Australian Bank Senior Floating Rate Bond ETF</v>
          </cell>
          <cell r="C113" t="str">
            <v>Fixed Income - Australia</v>
          </cell>
          <cell r="D113" t="str">
            <v>Solactive Australian Bank Senior Floating Rate Bond Index</v>
          </cell>
          <cell r="E113" t="str">
            <v>QPON</v>
          </cell>
          <cell r="F113">
            <v>0.22</v>
          </cell>
          <cell r="G113">
            <v>42892</v>
          </cell>
          <cell r="H113">
            <v>236702730</v>
          </cell>
          <cell r="I113">
            <v>19732433.695000004</v>
          </cell>
          <cell r="J113" t="str">
            <v>BetaShares</v>
          </cell>
          <cell r="K113">
            <v>1058</v>
          </cell>
          <cell r="L113">
            <v>253409514.56</v>
          </cell>
          <cell r="M113">
            <v>253409514.56</v>
          </cell>
          <cell r="N113">
            <v>-16706784.560000002</v>
          </cell>
          <cell r="O113">
            <v>25.5</v>
          </cell>
          <cell r="P113">
            <v>9282460</v>
          </cell>
          <cell r="Q113">
            <v>9922064</v>
          </cell>
          <cell r="R113">
            <v>-16309902</v>
          </cell>
        </row>
        <row r="114">
          <cell r="A114" t="str">
            <v>QRE</v>
          </cell>
          <cell r="B114" t="str">
            <v xml:space="preserve">BetaShares S&amp;P/ASX 200 Resources Sector ETF </v>
          </cell>
          <cell r="C114" t="str">
            <v>Equity - Australia</v>
          </cell>
          <cell r="D114" t="str">
            <v>S&amp;P/ASX 200 Resources</v>
          </cell>
          <cell r="E114" t="str">
            <v>QRE</v>
          </cell>
          <cell r="F114">
            <v>0.39</v>
          </cell>
          <cell r="G114">
            <v>40527</v>
          </cell>
          <cell r="H114">
            <v>147765137.5</v>
          </cell>
          <cell r="I114">
            <v>3698626.0250000004</v>
          </cell>
          <cell r="J114" t="str">
            <v>BetaShares</v>
          </cell>
          <cell r="K114">
            <v>359</v>
          </cell>
          <cell r="L114">
            <v>141854532</v>
          </cell>
          <cell r="M114">
            <v>141854532</v>
          </cell>
          <cell r="N114">
            <v>5910605.5</v>
          </cell>
          <cell r="O114">
            <v>6.25</v>
          </cell>
          <cell r="P114">
            <v>23642422</v>
          </cell>
          <cell r="Q114">
            <v>23642422</v>
          </cell>
          <cell r="R114">
            <v>0</v>
          </cell>
        </row>
        <row r="115">
          <cell r="A115" t="str">
            <v>QUAL</v>
          </cell>
          <cell r="B115" t="str">
            <v>VanEck Vectors MSCI World Ex-Australia Quality ETF</v>
          </cell>
          <cell r="C115" t="str">
            <v>Equity - Global</v>
          </cell>
          <cell r="E115" t="str">
            <v>QUAL</v>
          </cell>
          <cell r="F115">
            <v>0.4</v>
          </cell>
          <cell r="G115">
            <v>41943</v>
          </cell>
          <cell r="H115">
            <v>381411128.04000002</v>
          </cell>
          <cell r="I115">
            <v>20672395.629999999</v>
          </cell>
          <cell r="J115" t="str">
            <v>VanEck</v>
          </cell>
          <cell r="K115">
            <v>699</v>
          </cell>
          <cell r="L115">
            <v>368448639.24000001</v>
          </cell>
          <cell r="M115">
            <v>368448639.24000001</v>
          </cell>
          <cell r="N115">
            <v>12962488.800000012</v>
          </cell>
          <cell r="O115">
            <v>23.82</v>
          </cell>
          <cell r="P115">
            <v>16012222</v>
          </cell>
          <cell r="Q115">
            <v>15732222</v>
          </cell>
          <cell r="R115">
            <v>6669600</v>
          </cell>
        </row>
        <row r="116">
          <cell r="A116" t="str">
            <v>QUS</v>
          </cell>
          <cell r="B116" t="str">
            <v>BetaShares FTSE RAFI US 1000 ETF</v>
          </cell>
          <cell r="C116" t="str">
            <v>Equity - Global</v>
          </cell>
          <cell r="E116" t="str">
            <v>QUS</v>
          </cell>
          <cell r="F116">
            <v>0.4</v>
          </cell>
          <cell r="G116">
            <v>41992</v>
          </cell>
          <cell r="H116">
            <v>41411034.839999996</v>
          </cell>
          <cell r="I116">
            <v>2039620.7300000002</v>
          </cell>
          <cell r="J116" t="str">
            <v>BetaShares</v>
          </cell>
          <cell r="K116">
            <v>77</v>
          </cell>
          <cell r="L116">
            <v>40521250.700000003</v>
          </cell>
          <cell r="M116">
            <v>40521250.700000003</v>
          </cell>
          <cell r="N116">
            <v>889784.13999999315</v>
          </cell>
          <cell r="O116">
            <v>34.44</v>
          </cell>
          <cell r="P116">
            <v>1202411</v>
          </cell>
          <cell r="Q116">
            <v>1202411</v>
          </cell>
          <cell r="R116">
            <v>0</v>
          </cell>
        </row>
        <row r="117">
          <cell r="A117" t="str">
            <v>RARI</v>
          </cell>
          <cell r="B117" t="str">
            <v>Russell Australian Responsible Investment ETF</v>
          </cell>
          <cell r="C117" t="str">
            <v>Equity - Australia</v>
          </cell>
          <cell r="D117" t="str">
            <v>Russell Australia ESG High Dividend Index</v>
          </cell>
          <cell r="E117" t="str">
            <v>RARI</v>
          </cell>
          <cell r="F117">
            <v>0.45</v>
          </cell>
          <cell r="G117">
            <v>42102</v>
          </cell>
          <cell r="H117">
            <v>70737094.38000001</v>
          </cell>
          <cell r="I117">
            <v>2598383.9999999995</v>
          </cell>
          <cell r="J117" t="str">
            <v>Russell Investments</v>
          </cell>
          <cell r="K117">
            <v>88</v>
          </cell>
          <cell r="L117">
            <v>68982615.340000004</v>
          </cell>
          <cell r="M117">
            <v>68982615.340000004</v>
          </cell>
          <cell r="N117">
            <v>1754479.0400000066</v>
          </cell>
          <cell r="O117">
            <v>24.87</v>
          </cell>
          <cell r="P117">
            <v>2844274.0000000005</v>
          </cell>
          <cell r="Q117">
            <v>2769274</v>
          </cell>
          <cell r="R117">
            <v>1865250.0000000116</v>
          </cell>
        </row>
        <row r="118">
          <cell r="A118" t="str">
            <v>RCB</v>
          </cell>
          <cell r="B118" t="str">
            <v>Russell Australian Select Corporate Bond ETF</v>
          </cell>
          <cell r="C118" t="str">
            <v>Fixed Income - Australia</v>
          </cell>
          <cell r="D118" t="str">
            <v>DBIQ 0 -4 year Investment Grade Australian Corporate Bond Index</v>
          </cell>
          <cell r="E118" t="str">
            <v>RCB</v>
          </cell>
          <cell r="F118">
            <v>0.28000000000000003</v>
          </cell>
          <cell r="G118">
            <v>40981</v>
          </cell>
          <cell r="H118">
            <v>165362417.42999998</v>
          </cell>
          <cell r="I118">
            <v>6822821.8950000014</v>
          </cell>
          <cell r="J118" t="str">
            <v>Russell Investments</v>
          </cell>
          <cell r="K118">
            <v>468</v>
          </cell>
          <cell r="L118">
            <v>166520533.41</v>
          </cell>
          <cell r="M118">
            <v>166520533.41</v>
          </cell>
          <cell r="N118">
            <v>-1158115.9800000191</v>
          </cell>
          <cell r="O118">
            <v>19.989999999999998</v>
          </cell>
          <cell r="P118">
            <v>8272256.9999999991</v>
          </cell>
          <cell r="Q118">
            <v>8272257</v>
          </cell>
          <cell r="R118">
            <v>-1.8617138266563414E-8</v>
          </cell>
        </row>
        <row r="119">
          <cell r="A119" t="str">
            <v>RDV</v>
          </cell>
          <cell r="B119" t="str">
            <v xml:space="preserve">Russell High Dividend Australian Shares ETF  </v>
          </cell>
          <cell r="C119" t="str">
            <v>Equity - Australia</v>
          </cell>
          <cell r="D119" t="str">
            <v>Russell High Dividend Australian Shares</v>
          </cell>
          <cell r="E119" t="str">
            <v>RDV</v>
          </cell>
          <cell r="F119">
            <v>0.34</v>
          </cell>
          <cell r="G119">
            <v>40312</v>
          </cell>
          <cell r="H119">
            <v>281664491.81</v>
          </cell>
          <cell r="I119">
            <v>13111180.684800005</v>
          </cell>
          <cell r="J119" t="str">
            <v>Russell Investments</v>
          </cell>
          <cell r="K119">
            <v>372</v>
          </cell>
          <cell r="L119">
            <v>284730422.33999997</v>
          </cell>
          <cell r="M119">
            <v>284730422.33999997</v>
          </cell>
          <cell r="N119">
            <v>-3065930.5299999714</v>
          </cell>
          <cell r="O119">
            <v>28.99</v>
          </cell>
          <cell r="P119">
            <v>9715919</v>
          </cell>
          <cell r="Q119">
            <v>9865919</v>
          </cell>
          <cell r="R119">
            <v>-4348500</v>
          </cell>
        </row>
        <row r="120">
          <cell r="A120" t="str">
            <v>RENT</v>
          </cell>
          <cell r="B120" t="str">
            <v>AMP Capital Global Property Securities Fund (Unhedged) (Managed Fund)</v>
          </cell>
          <cell r="C120" t="str">
            <v>Property - Global</v>
          </cell>
          <cell r="E120" t="str">
            <v>RENT</v>
          </cell>
          <cell r="F120">
            <v>0.9900000000000001</v>
          </cell>
          <cell r="G120">
            <v>42527</v>
          </cell>
          <cell r="H120">
            <v>14929714.800000001</v>
          </cell>
          <cell r="I120">
            <v>393258.45999999996</v>
          </cell>
          <cell r="J120" t="str">
            <v>AMP Capital / BetaShares</v>
          </cell>
          <cell r="K120">
            <v>13</v>
          </cell>
          <cell r="L120">
            <v>14299627.32</v>
          </cell>
          <cell r="M120">
            <v>14299627.32</v>
          </cell>
          <cell r="N120">
            <v>630087.48000000045</v>
          </cell>
          <cell r="O120">
            <v>2.52</v>
          </cell>
          <cell r="P120">
            <v>5924490</v>
          </cell>
          <cell r="Q120">
            <v>5860503</v>
          </cell>
          <cell r="R120">
            <v>161247.24</v>
          </cell>
        </row>
        <row r="121">
          <cell r="A121" t="str">
            <v>RGB</v>
          </cell>
          <cell r="B121" t="str">
            <v>Russell Australian Government Bond ETF</v>
          </cell>
          <cell r="C121" t="str">
            <v>Fixed Income - Australia</v>
          </cell>
          <cell r="D121" t="str">
            <v>DBIQ 5-10 year Australian Government Bond Index</v>
          </cell>
          <cell r="E121" t="str">
            <v>RGB</v>
          </cell>
          <cell r="F121">
            <v>0.24</v>
          </cell>
          <cell r="G121">
            <v>40981</v>
          </cell>
          <cell r="H121">
            <v>60529549.339999996</v>
          </cell>
          <cell r="I121">
            <v>661928.05000000005</v>
          </cell>
          <cell r="J121" t="str">
            <v>Russell Investments</v>
          </cell>
          <cell r="K121">
            <v>24</v>
          </cell>
          <cell r="L121">
            <v>60443160.829999998</v>
          </cell>
          <cell r="M121">
            <v>60443160.829999998</v>
          </cell>
          <cell r="N121">
            <v>86388.509999997914</v>
          </cell>
          <cell r="O121">
            <v>21.02</v>
          </cell>
          <cell r="P121">
            <v>2879617</v>
          </cell>
          <cell r="Q121">
            <v>2879617</v>
          </cell>
          <cell r="R121">
            <v>0</v>
          </cell>
        </row>
        <row r="122">
          <cell r="A122" t="str">
            <v>RINC</v>
          </cell>
          <cell r="B122" t="str">
            <v>BetaShares Legg Mason Real Income Fund (Managed Fund)</v>
          </cell>
          <cell r="C122" t="str">
            <v>Property - Australia</v>
          </cell>
          <cell r="D122" t="str">
            <v>Pre-tax income yield above S&amp;P/ASX 200 Index and income above rate of inflation</v>
          </cell>
          <cell r="E122" t="str">
            <v>RINC</v>
          </cell>
          <cell r="F122">
            <v>0.85</v>
          </cell>
          <cell r="G122">
            <v>43150</v>
          </cell>
          <cell r="H122">
            <v>10472588.389999999</v>
          </cell>
          <cell r="I122">
            <v>1212891.8500000001</v>
          </cell>
          <cell r="J122" t="str">
            <v>Legg Mason / BetaShares</v>
          </cell>
          <cell r="K122">
            <v>37</v>
          </cell>
          <cell r="L122">
            <v>9100066</v>
          </cell>
          <cell r="M122">
            <v>9100066</v>
          </cell>
          <cell r="N122">
            <v>1372522.3899999987</v>
          </cell>
          <cell r="O122">
            <v>8.69</v>
          </cell>
          <cell r="P122">
            <v>1205131</v>
          </cell>
          <cell r="Q122">
            <v>1070596</v>
          </cell>
          <cell r="R122">
            <v>1169109.1499999999</v>
          </cell>
        </row>
        <row r="123">
          <cell r="A123" t="str">
            <v>ROBO</v>
          </cell>
          <cell r="B123" t="str">
            <v>ETFS ROBO Global Robotics and Automation ETF</v>
          </cell>
          <cell r="C123" t="str">
            <v>Equity - Global</v>
          </cell>
          <cell r="D123" t="str">
            <v>ROBO Global Robotics and Automation Index</v>
          </cell>
          <cell r="E123" t="str">
            <v>ROBO</v>
          </cell>
          <cell r="F123">
            <v>0.69</v>
          </cell>
          <cell r="G123">
            <v>42992</v>
          </cell>
          <cell r="H123">
            <v>103660000</v>
          </cell>
          <cell r="I123">
            <v>18845891.300000034</v>
          </cell>
          <cell r="J123" t="str">
            <v>ETFS</v>
          </cell>
          <cell r="K123">
            <v>2577</v>
          </cell>
          <cell r="L123">
            <v>94830000</v>
          </cell>
          <cell r="M123">
            <v>94830000</v>
          </cell>
          <cell r="N123">
            <v>8830000</v>
          </cell>
          <cell r="O123">
            <v>56.8</v>
          </cell>
          <cell r="P123">
            <v>1825000</v>
          </cell>
          <cell r="Q123">
            <v>1635000</v>
          </cell>
          <cell r="R123">
            <v>10792000</v>
          </cell>
        </row>
        <row r="124">
          <cell r="A124" t="str">
            <v>RSM</v>
          </cell>
          <cell r="B124" t="str">
            <v>Russell Australian Semi-Government Bond ETF</v>
          </cell>
          <cell r="C124" t="str">
            <v>Fixed Income - Australia</v>
          </cell>
          <cell r="D124" t="str">
            <v>DBIQ 0-5 year Australian Semi-Government Bond Index</v>
          </cell>
          <cell r="E124" t="str">
            <v>RSM</v>
          </cell>
          <cell r="F124">
            <v>0.26</v>
          </cell>
          <cell r="G124">
            <v>40981</v>
          </cell>
          <cell r="H124">
            <v>61142684.460000001</v>
          </cell>
          <cell r="I124">
            <v>1102355.1099999999</v>
          </cell>
          <cell r="J124" t="str">
            <v>Russell Investments</v>
          </cell>
          <cell r="K124">
            <v>53</v>
          </cell>
          <cell r="L124">
            <v>61292104.510000005</v>
          </cell>
          <cell r="M124">
            <v>61292104.510000005</v>
          </cell>
          <cell r="N124">
            <v>-149420.05000000447</v>
          </cell>
          <cell r="O124">
            <v>20.46</v>
          </cell>
          <cell r="P124">
            <v>2988401</v>
          </cell>
          <cell r="Q124">
            <v>2988401</v>
          </cell>
          <cell r="R124">
            <v>0</v>
          </cell>
        </row>
        <row r="125">
          <cell r="A125" t="str">
            <v>SFY</v>
          </cell>
          <cell r="B125" t="str">
            <v xml:space="preserve">SPDR S&amp;P/ASX 50 </v>
          </cell>
          <cell r="C125" t="str">
            <v>Equity - Australia</v>
          </cell>
          <cell r="D125" t="str">
            <v>S&amp;P/ASX 50</v>
          </cell>
          <cell r="E125" t="str">
            <v>SFY</v>
          </cell>
          <cell r="F125">
            <v>0.28599999999999998</v>
          </cell>
          <cell r="G125">
            <v>37130</v>
          </cell>
          <cell r="H125">
            <v>514985458.42000002</v>
          </cell>
          <cell r="I125">
            <v>14409390.189999999</v>
          </cell>
          <cell r="J125" t="str">
            <v>StateStreet</v>
          </cell>
          <cell r="K125">
            <v>555</v>
          </cell>
          <cell r="L125">
            <v>501471398.31</v>
          </cell>
          <cell r="M125">
            <v>501471398.31</v>
          </cell>
          <cell r="N125">
            <v>13514060.110000014</v>
          </cell>
          <cell r="O125">
            <v>56.78</v>
          </cell>
          <cell r="P125">
            <v>9069839</v>
          </cell>
          <cell r="Q125">
            <v>9069839</v>
          </cell>
          <cell r="R125">
            <v>0</v>
          </cell>
        </row>
        <row r="126">
          <cell r="A126" t="str">
            <v>SLF</v>
          </cell>
          <cell r="B126" t="str">
            <v>SPDR S&amp;P/ASX 200 Listed Property Fund</v>
          </cell>
          <cell r="C126" t="str">
            <v>Property - Australia</v>
          </cell>
          <cell r="D126" t="str">
            <v>S&amp;P/ASX 200 A-REITs</v>
          </cell>
          <cell r="E126" t="str">
            <v>SLF</v>
          </cell>
          <cell r="F126">
            <v>0.4</v>
          </cell>
          <cell r="G126">
            <v>37305</v>
          </cell>
          <cell r="H126">
            <v>554018012.62</v>
          </cell>
          <cell r="I126">
            <v>20927913.695000004</v>
          </cell>
          <cell r="J126" t="str">
            <v>StateStreet</v>
          </cell>
          <cell r="K126">
            <v>1236</v>
          </cell>
          <cell r="L126">
            <v>575529013.11000001</v>
          </cell>
          <cell r="M126">
            <v>575529013.11000001</v>
          </cell>
          <cell r="N126">
            <v>-21511000.49000001</v>
          </cell>
          <cell r="O126">
            <v>12.62</v>
          </cell>
          <cell r="P126">
            <v>43900001</v>
          </cell>
          <cell r="Q126">
            <v>43900001</v>
          </cell>
          <cell r="R126">
            <v>0</v>
          </cell>
        </row>
        <row r="127">
          <cell r="A127" t="str">
            <v>SMLL</v>
          </cell>
          <cell r="B127" t="str">
            <v>BetaShares Australian Small Companies Select Fund (Managed Fund)</v>
          </cell>
          <cell r="C127" t="str">
            <v>Equity - Australia</v>
          </cell>
          <cell r="D127" t="str">
            <v>S&amp;P/ASX Small Ordinaries Accumulation Index over the medium to long term</v>
          </cell>
          <cell r="E127" t="str">
            <v>SMLL</v>
          </cell>
          <cell r="F127">
            <v>0.39</v>
          </cell>
          <cell r="G127">
            <v>42836</v>
          </cell>
          <cell r="H127">
            <v>22401575</v>
          </cell>
          <cell r="I127">
            <v>1021604.5849999998</v>
          </cell>
          <cell r="J127" t="str">
            <v>BetaShares</v>
          </cell>
          <cell r="K127">
            <v>446</v>
          </cell>
          <cell r="L127">
            <v>21215515.919999998</v>
          </cell>
          <cell r="M127">
            <v>21215515.919999998</v>
          </cell>
          <cell r="N127">
            <v>1186059.0800000019</v>
          </cell>
          <cell r="O127">
            <v>3.5</v>
          </cell>
          <cell r="P127">
            <v>6400450</v>
          </cell>
          <cell r="Q127">
            <v>6131651.9999999991</v>
          </cell>
          <cell r="R127">
            <v>940793.00000000326</v>
          </cell>
        </row>
        <row r="128">
          <cell r="A128" t="str">
            <v>SPY</v>
          </cell>
          <cell r="B128" t="str">
            <v>SPDR S&amp;P 500 ETF Trust</v>
          </cell>
          <cell r="C128" t="str">
            <v>Equity - Global</v>
          </cell>
          <cell r="D128" t="str">
            <v>S&amp;P 500</v>
          </cell>
          <cell r="E128" t="str">
            <v>SPY</v>
          </cell>
          <cell r="F128">
            <v>9.4500000000000001E-2</v>
          </cell>
          <cell r="G128">
            <v>41925</v>
          </cell>
          <cell r="H128">
            <v>21909301.600000001</v>
          </cell>
          <cell r="I128">
            <v>1479865.3299999998</v>
          </cell>
          <cell r="J128" t="str">
            <v>StateStreet</v>
          </cell>
          <cell r="K128">
            <v>60</v>
          </cell>
          <cell r="L128">
            <v>20317801.399999999</v>
          </cell>
          <cell r="M128">
            <v>20317801.399999999</v>
          </cell>
          <cell r="N128">
            <v>1591500.200000003</v>
          </cell>
          <cell r="O128">
            <v>368.8</v>
          </cell>
          <cell r="P128">
            <v>59407</v>
          </cell>
          <cell r="Q128">
            <v>56407</v>
          </cell>
          <cell r="R128">
            <v>1106400</v>
          </cell>
        </row>
        <row r="129">
          <cell r="A129" t="str">
            <v>SSO</v>
          </cell>
          <cell r="B129" t="str">
            <v>SPDR S&amp;P/ASX Small Ordinaries Fund</v>
          </cell>
          <cell r="C129" t="str">
            <v>Equity - Australia</v>
          </cell>
          <cell r="D129" t="str">
            <v>S&amp;P/ASX Small Ordinaries</v>
          </cell>
          <cell r="E129" t="str">
            <v>SSO</v>
          </cell>
          <cell r="F129">
            <v>0.5</v>
          </cell>
          <cell r="G129">
            <v>40646</v>
          </cell>
          <cell r="H129">
            <v>21616979.600000001</v>
          </cell>
          <cell r="I129">
            <v>926042.97</v>
          </cell>
          <cell r="J129" t="str">
            <v>StateStreet</v>
          </cell>
          <cell r="K129">
            <v>49</v>
          </cell>
          <cell r="L129">
            <v>20019428.099999998</v>
          </cell>
          <cell r="M129">
            <v>20019428.099999998</v>
          </cell>
          <cell r="N129">
            <v>1597551.5000000037</v>
          </cell>
          <cell r="O129">
            <v>15.32</v>
          </cell>
          <cell r="P129">
            <v>1411030</v>
          </cell>
          <cell r="Q129">
            <v>1311030</v>
          </cell>
          <cell r="R129">
            <v>1532000</v>
          </cell>
        </row>
        <row r="130">
          <cell r="A130" t="str">
            <v>STW</v>
          </cell>
          <cell r="B130" t="str">
            <v xml:space="preserve">SPDR S&amp;P/ASX 200 </v>
          </cell>
          <cell r="C130" t="str">
            <v>Equity - Australia</v>
          </cell>
          <cell r="D130" t="str">
            <v xml:space="preserve">S&amp;P/ASX 200 </v>
          </cell>
          <cell r="E130" t="str">
            <v>STW</v>
          </cell>
          <cell r="F130">
            <v>0.19</v>
          </cell>
          <cell r="G130">
            <v>37130</v>
          </cell>
          <cell r="H130">
            <v>3794116485.1800003</v>
          </cell>
          <cell r="I130">
            <v>259182207.48439997</v>
          </cell>
          <cell r="J130" t="str">
            <v>StateStreet</v>
          </cell>
          <cell r="K130">
            <v>5074</v>
          </cell>
          <cell r="L130">
            <v>3699901487.0999999</v>
          </cell>
          <cell r="M130">
            <v>3699901487.0999999</v>
          </cell>
          <cell r="N130">
            <v>94214998.080000401</v>
          </cell>
          <cell r="O130">
            <v>57.99</v>
          </cell>
          <cell r="P130">
            <v>65427082</v>
          </cell>
          <cell r="Q130">
            <v>65427082</v>
          </cell>
          <cell r="R130">
            <v>0</v>
          </cell>
        </row>
        <row r="131">
          <cell r="A131" t="str">
            <v>SWTZ</v>
          </cell>
          <cell r="B131" t="str">
            <v>Switzer Dividend Growth Fund (Managed Fund)</v>
          </cell>
          <cell r="C131" t="str">
            <v>Equity - Australia</v>
          </cell>
          <cell r="E131" t="str">
            <v>SWTZ</v>
          </cell>
          <cell r="F131">
            <v>0.89</v>
          </cell>
          <cell r="G131">
            <v>42790</v>
          </cell>
          <cell r="H131">
            <v>77484817.960000008</v>
          </cell>
          <cell r="I131">
            <v>4256797.1000000006</v>
          </cell>
          <cell r="J131" t="str">
            <v>Switzer</v>
          </cell>
          <cell r="K131">
            <v>184</v>
          </cell>
          <cell r="L131">
            <v>77009243.079999998</v>
          </cell>
          <cell r="M131">
            <v>77009243.079999998</v>
          </cell>
          <cell r="N131">
            <v>475574.88000001013</v>
          </cell>
          <cell r="O131">
            <v>2.62</v>
          </cell>
          <cell r="P131">
            <v>29574358.000000004</v>
          </cell>
          <cell r="Q131">
            <v>30438436</v>
          </cell>
          <cell r="R131">
            <v>-2263884.3599999906</v>
          </cell>
        </row>
        <row r="132">
          <cell r="A132" t="str">
            <v>SYI</v>
          </cell>
          <cell r="B132" t="str">
            <v xml:space="preserve">SPDR MSCI Australia Select High Dividend Yield Fund </v>
          </cell>
          <cell r="C132" t="str">
            <v>Equity - Australia</v>
          </cell>
          <cell r="D132" t="str">
            <v xml:space="preserve">MSCI Australian Select High Dividend Yield </v>
          </cell>
          <cell r="E132" t="str">
            <v>SYI</v>
          </cell>
          <cell r="F132">
            <v>0.35</v>
          </cell>
          <cell r="G132">
            <v>40450</v>
          </cell>
          <cell r="H132">
            <v>164323652.70000002</v>
          </cell>
          <cell r="I132">
            <v>5528126.6999999993</v>
          </cell>
          <cell r="J132" t="str">
            <v>StateStreet</v>
          </cell>
          <cell r="K132">
            <v>222</v>
          </cell>
          <cell r="L132">
            <v>180246002.59999999</v>
          </cell>
          <cell r="M132">
            <v>180246002.59999999</v>
          </cell>
          <cell r="N132">
            <v>-15922349.899999976</v>
          </cell>
          <cell r="O132">
            <v>29.17</v>
          </cell>
          <cell r="P132">
            <v>5633310</v>
          </cell>
          <cell r="Q132">
            <v>6333310</v>
          </cell>
          <cell r="R132">
            <v>-20419000</v>
          </cell>
        </row>
        <row r="133">
          <cell r="A133" t="str">
            <v>TECH</v>
          </cell>
          <cell r="B133" t="str">
            <v>ETFS Morningstar Global Technology ETF</v>
          </cell>
          <cell r="C133" t="str">
            <v>Equity - Global</v>
          </cell>
          <cell r="D133" t="str">
            <v>Morningstar Developed Markets Technology Moat Focus Index</v>
          </cell>
          <cell r="E133" t="str">
            <v>TECH</v>
          </cell>
          <cell r="F133">
            <v>0.45</v>
          </cell>
          <cell r="G133">
            <v>42836</v>
          </cell>
          <cell r="H133">
            <v>57673721.299999997</v>
          </cell>
          <cell r="I133">
            <v>9466460.0199999996</v>
          </cell>
          <cell r="J133" t="str">
            <v>ETFS</v>
          </cell>
          <cell r="K133">
            <v>485</v>
          </cell>
          <cell r="L133">
            <v>53023439.479999997</v>
          </cell>
          <cell r="M133">
            <v>53023439.479999997</v>
          </cell>
          <cell r="N133">
            <v>4650281.82</v>
          </cell>
          <cell r="O133">
            <v>67.849999999999994</v>
          </cell>
          <cell r="P133">
            <v>850018</v>
          </cell>
          <cell r="Q133">
            <v>770018</v>
          </cell>
          <cell r="R133">
            <v>5428000</v>
          </cell>
        </row>
        <row r="134">
          <cell r="A134" t="str">
            <v>UBA</v>
          </cell>
          <cell r="B134" t="str">
            <v>UBS IQ MSCI Australian Ethical ETF</v>
          </cell>
          <cell r="C134" t="str">
            <v>Equity - Australia</v>
          </cell>
          <cell r="D134" t="str">
            <v>MSCI Australia ex Tobacco ex Controversial Weapons Index</v>
          </cell>
          <cell r="E134" t="str">
            <v>UBA</v>
          </cell>
          <cell r="F134">
            <v>0.17</v>
          </cell>
          <cell r="G134">
            <v>42054</v>
          </cell>
          <cell r="H134">
            <v>204603778.5</v>
          </cell>
          <cell r="I134">
            <v>224009.75000000006</v>
          </cell>
          <cell r="J134" t="str">
            <v>UBS</v>
          </cell>
          <cell r="K134">
            <v>19</v>
          </cell>
          <cell r="L134">
            <v>199044953.25</v>
          </cell>
          <cell r="M134">
            <v>199044953.25</v>
          </cell>
          <cell r="N134">
            <v>5558825.25</v>
          </cell>
          <cell r="O134">
            <v>20.98</v>
          </cell>
          <cell r="P134">
            <v>9752325</v>
          </cell>
          <cell r="Q134">
            <v>9752325</v>
          </cell>
          <cell r="R134">
            <v>0</v>
          </cell>
        </row>
        <row r="135">
          <cell r="A135" t="str">
            <v>UBE</v>
          </cell>
          <cell r="B135" t="str">
            <v>UBS IQ MSCI Europe Ethical ETF</v>
          </cell>
          <cell r="C135" t="str">
            <v>Equity - Global</v>
          </cell>
          <cell r="D135" t="str">
            <v>MSCI Europe ex Tobacco ex Controversial Weapons Index</v>
          </cell>
          <cell r="E135" t="str">
            <v>UBE</v>
          </cell>
          <cell r="F135">
            <v>0.4</v>
          </cell>
          <cell r="G135">
            <v>42054</v>
          </cell>
          <cell r="H135">
            <v>11066684.800000001</v>
          </cell>
          <cell r="I135">
            <v>325142.42999999993</v>
          </cell>
          <cell r="J135" t="str">
            <v>UBS</v>
          </cell>
          <cell r="K135">
            <v>28</v>
          </cell>
          <cell r="L135">
            <v>11324769.800000001</v>
          </cell>
          <cell r="M135">
            <v>11324769.800000001</v>
          </cell>
          <cell r="N135">
            <v>-258085</v>
          </cell>
          <cell r="O135">
            <v>21.44</v>
          </cell>
          <cell r="P135">
            <v>516170</v>
          </cell>
          <cell r="Q135">
            <v>516170</v>
          </cell>
          <cell r="R135">
            <v>0</v>
          </cell>
        </row>
        <row r="136">
          <cell r="A136" t="str">
            <v>UBJ</v>
          </cell>
          <cell r="B136" t="str">
            <v>UBS IQ MSCI Japan Ethical ETF</v>
          </cell>
          <cell r="C136" t="str">
            <v>Equity - Global</v>
          </cell>
          <cell r="D136" t="str">
            <v>MSCI Japan ex Tobacco ex Controversial Weapons Index</v>
          </cell>
          <cell r="E136" t="str">
            <v>UBJ</v>
          </cell>
          <cell r="F136">
            <v>0.4</v>
          </cell>
          <cell r="G136">
            <v>42088</v>
          </cell>
          <cell r="H136">
            <v>4547611.68</v>
          </cell>
          <cell r="I136">
            <v>65855.81</v>
          </cell>
          <cell r="J136" t="str">
            <v>UBS</v>
          </cell>
          <cell r="K136">
            <v>8</v>
          </cell>
          <cell r="L136">
            <v>4625690.4399999995</v>
          </cell>
          <cell r="M136">
            <v>4625690.4399999995</v>
          </cell>
          <cell r="N136">
            <v>-78078.759999999776</v>
          </cell>
          <cell r="O136">
            <v>23.88</v>
          </cell>
          <cell r="P136">
            <v>190436</v>
          </cell>
          <cell r="Q136">
            <v>190435.99999999997</v>
          </cell>
          <cell r="R136">
            <v>6.9499947130680081E-10</v>
          </cell>
        </row>
        <row r="137">
          <cell r="A137" t="str">
            <v>UBP</v>
          </cell>
          <cell r="B137" t="str">
            <v>UBS IQ MSCI Asia APEX 50 Ethical ETF</v>
          </cell>
          <cell r="C137" t="str">
            <v>Equity - Global</v>
          </cell>
          <cell r="D137" t="str">
            <v>MSCI Asia APEX 50 ex Tobacco ex Controversial Weapons Index</v>
          </cell>
          <cell r="E137" t="str">
            <v>UBP</v>
          </cell>
          <cell r="F137">
            <v>0.45</v>
          </cell>
          <cell r="G137">
            <v>42132</v>
          </cell>
          <cell r="H137">
            <v>8940915.5</v>
          </cell>
          <cell r="I137">
            <v>1015253.0199999999</v>
          </cell>
          <cell r="J137" t="str">
            <v>UBS</v>
          </cell>
          <cell r="K137">
            <v>89</v>
          </cell>
          <cell r="L137">
            <v>9220975.5</v>
          </cell>
          <cell r="M137">
            <v>9220975.5</v>
          </cell>
          <cell r="N137">
            <v>-280060</v>
          </cell>
          <cell r="O137">
            <v>25.54</v>
          </cell>
          <cell r="P137">
            <v>350075</v>
          </cell>
          <cell r="Q137">
            <v>350075</v>
          </cell>
          <cell r="R137">
            <v>0</v>
          </cell>
        </row>
        <row r="138">
          <cell r="A138" t="str">
            <v>UBU</v>
          </cell>
          <cell r="B138" t="str">
            <v>UBS IQ MSCI USA Ethical ETF</v>
          </cell>
          <cell r="C138" t="str">
            <v>Equity - Global</v>
          </cell>
          <cell r="D138" t="str">
            <v>MSCI USA ex Tobacco ex Controversial Weapons Index</v>
          </cell>
          <cell r="E138" t="str">
            <v>UBU</v>
          </cell>
          <cell r="F138">
            <v>0.2</v>
          </cell>
          <cell r="G138">
            <v>42054</v>
          </cell>
          <cell r="H138">
            <v>6793297.7399999993</v>
          </cell>
          <cell r="I138">
            <v>85170.709999999992</v>
          </cell>
          <cell r="J138" t="str">
            <v>UBS</v>
          </cell>
          <cell r="K138">
            <v>8</v>
          </cell>
          <cell r="L138">
            <v>6713170.3799999999</v>
          </cell>
          <cell r="M138">
            <v>6713170.3799999999</v>
          </cell>
          <cell r="N138">
            <v>80127.359999999404</v>
          </cell>
          <cell r="O138">
            <v>27.13</v>
          </cell>
          <cell r="P138">
            <v>250397.99999999997</v>
          </cell>
          <cell r="Q138">
            <v>250398</v>
          </cell>
          <cell r="R138">
            <v>-7.8958692029118535E-10</v>
          </cell>
        </row>
        <row r="139">
          <cell r="A139" t="str">
            <v>UBW</v>
          </cell>
          <cell r="B139" t="str">
            <v>UBS IQ MSCI World ex Australia Ethical ETF</v>
          </cell>
          <cell r="C139" t="str">
            <v>Equity - Global</v>
          </cell>
          <cell r="D139" t="str">
            <v>MSCI World ex Australia ex Tobacco ex Controversial Weapons Index</v>
          </cell>
          <cell r="E139" t="str">
            <v>UBW</v>
          </cell>
          <cell r="F139">
            <v>0.35</v>
          </cell>
          <cell r="G139">
            <v>42054</v>
          </cell>
          <cell r="H139">
            <v>29250862.440000001</v>
          </cell>
          <cell r="I139">
            <v>2334690.5799999996</v>
          </cell>
          <cell r="J139" t="str">
            <v>UBS</v>
          </cell>
          <cell r="K139">
            <v>123</v>
          </cell>
          <cell r="L139">
            <v>29285726.399999999</v>
          </cell>
          <cell r="M139">
            <v>29285726.399999999</v>
          </cell>
          <cell r="N139">
            <v>-34863.959999997169</v>
          </cell>
          <cell r="O139">
            <v>25.17</v>
          </cell>
          <cell r="P139">
            <v>1162132</v>
          </cell>
          <cell r="Q139">
            <v>1162132</v>
          </cell>
          <cell r="R139">
            <v>0</v>
          </cell>
        </row>
        <row r="140">
          <cell r="A140" t="str">
            <v>UMAX</v>
          </cell>
          <cell r="B140" t="str">
            <v>BetaShares S&amp;P 500 Yield Maximiser Fund (Managed Fund)</v>
          </cell>
          <cell r="C140" t="str">
            <v>Equity - Global</v>
          </cell>
          <cell r="E140" t="str">
            <v>UMAX</v>
          </cell>
          <cell r="F140">
            <v>0.79</v>
          </cell>
          <cell r="G140">
            <v>41901</v>
          </cell>
          <cell r="H140">
            <v>93310409.5</v>
          </cell>
          <cell r="I140">
            <v>3168963.8099999991</v>
          </cell>
          <cell r="J140" t="str">
            <v>BetaShares</v>
          </cell>
          <cell r="K140">
            <v>216</v>
          </cell>
          <cell r="L140">
            <v>92613343.679999992</v>
          </cell>
          <cell r="M140">
            <v>92613343.679999992</v>
          </cell>
          <cell r="N140">
            <v>697065.82000000775</v>
          </cell>
          <cell r="O140">
            <v>19.25</v>
          </cell>
          <cell r="P140">
            <v>4847294</v>
          </cell>
          <cell r="Q140">
            <v>4947294</v>
          </cell>
          <cell r="R140">
            <v>-1925000</v>
          </cell>
        </row>
        <row r="141">
          <cell r="A141" t="str">
            <v>USD</v>
          </cell>
          <cell r="B141" t="str">
            <v>BetaShares U.S Dollar ETF</v>
          </cell>
          <cell r="C141" t="str">
            <v>Currency</v>
          </cell>
          <cell r="D141" t="str">
            <v>U.S Dollars</v>
          </cell>
          <cell r="E141" t="str">
            <v>USD</v>
          </cell>
          <cell r="F141">
            <v>0.45</v>
          </cell>
          <cell r="G141">
            <v>40575</v>
          </cell>
          <cell r="H141">
            <v>462906615.38</v>
          </cell>
          <cell r="I141">
            <v>43036068.597599998</v>
          </cell>
          <cell r="J141" t="str">
            <v>BetaShares</v>
          </cell>
          <cell r="K141">
            <v>1050</v>
          </cell>
          <cell r="L141">
            <v>467181614.10000002</v>
          </cell>
          <cell r="M141">
            <v>467181614.10000002</v>
          </cell>
          <cell r="N141">
            <v>-4274998.7200000286</v>
          </cell>
          <cell r="O141">
            <v>13.22</v>
          </cell>
          <cell r="P141">
            <v>35015629</v>
          </cell>
          <cell r="Q141">
            <v>36215629</v>
          </cell>
          <cell r="R141">
            <v>-15864000</v>
          </cell>
        </row>
        <row r="142">
          <cell r="A142" t="str">
            <v>VACF</v>
          </cell>
          <cell r="B142" t="str">
            <v>Vanguard Australian Corporate Fixed Interest Index ETF</v>
          </cell>
          <cell r="C142" t="str">
            <v>Fixed Income - Australia</v>
          </cell>
          <cell r="D142" t="str">
            <v>Bloomberg AusBond Credit 0+ Yr Index</v>
          </cell>
          <cell r="E142" t="str">
            <v>VACF</v>
          </cell>
          <cell r="F142">
            <v>0.26</v>
          </cell>
          <cell r="G142">
            <v>42515</v>
          </cell>
          <cell r="H142">
            <v>126670187.04000001</v>
          </cell>
          <cell r="I142">
            <v>9425403.8199999984</v>
          </cell>
          <cell r="J142" t="str">
            <v>Vanguard</v>
          </cell>
          <cell r="K142">
            <v>315</v>
          </cell>
          <cell r="L142">
            <v>117870673.7</v>
          </cell>
          <cell r="M142">
            <v>117870673.7</v>
          </cell>
          <cell r="N142">
            <v>8799513.3400000036</v>
          </cell>
          <cell r="O142">
            <v>50.64</v>
          </cell>
          <cell r="P142">
            <v>2501386</v>
          </cell>
          <cell r="Q142">
            <v>2336386</v>
          </cell>
          <cell r="R142">
            <v>8355600</v>
          </cell>
        </row>
        <row r="143">
          <cell r="A143" t="str">
            <v>VAE</v>
          </cell>
          <cell r="B143" t="str">
            <v>Vanguard FTSE Asia Ex-Japan Shares Index ETF</v>
          </cell>
          <cell r="C143" t="str">
            <v>Equity - Global</v>
          </cell>
          <cell r="E143" t="str">
            <v>VAE</v>
          </cell>
          <cell r="F143">
            <v>0.4</v>
          </cell>
          <cell r="G143">
            <v>42349</v>
          </cell>
          <cell r="H143">
            <v>97289280</v>
          </cell>
          <cell r="I143">
            <v>25907970.989999995</v>
          </cell>
          <cell r="J143" t="str">
            <v>Vanguard</v>
          </cell>
          <cell r="K143">
            <v>711</v>
          </cell>
          <cell r="L143">
            <v>88469679.999999985</v>
          </cell>
          <cell r="M143">
            <v>88469679.999999985</v>
          </cell>
          <cell r="N143">
            <v>8819600.0000000149</v>
          </cell>
          <cell r="O143">
            <v>65.12</v>
          </cell>
          <cell r="P143">
            <v>1494000</v>
          </cell>
          <cell r="Q143">
            <v>1324000</v>
          </cell>
          <cell r="R143">
            <v>11070400</v>
          </cell>
        </row>
        <row r="144">
          <cell r="A144" t="str">
            <v>VAF</v>
          </cell>
          <cell r="B144" t="str">
            <v>Vanguard Australian Fixed Interest Index ETF</v>
          </cell>
          <cell r="C144" t="str">
            <v>Fixed Income - Australia</v>
          </cell>
          <cell r="D144" t="str">
            <v>Bloomberg AusBond Composite 0+ Yr Index</v>
          </cell>
          <cell r="E144" t="str">
            <v>VAF</v>
          </cell>
          <cell r="F144">
            <v>0.2</v>
          </cell>
          <cell r="G144">
            <v>41213</v>
          </cell>
          <cell r="H144">
            <v>704842057.19999993</v>
          </cell>
          <cell r="I144">
            <v>24557166.510000005</v>
          </cell>
          <cell r="J144" t="str">
            <v>Vanguard</v>
          </cell>
          <cell r="K144">
            <v>1430</v>
          </cell>
          <cell r="L144">
            <v>702679965</v>
          </cell>
          <cell r="M144">
            <v>702679965</v>
          </cell>
          <cell r="N144">
            <v>2162092.1999999285</v>
          </cell>
          <cell r="O144">
            <v>48.9</v>
          </cell>
          <cell r="P144">
            <v>14413947.999999998</v>
          </cell>
          <cell r="Q144">
            <v>14413948</v>
          </cell>
          <cell r="R144">
            <v>-9.1083347797393796E-8</v>
          </cell>
        </row>
        <row r="145">
          <cell r="A145" t="str">
            <v>VAP</v>
          </cell>
          <cell r="B145" t="str">
            <v>Vanguard Australian Property Securities Index ETF</v>
          </cell>
          <cell r="C145" t="str">
            <v>Property - Australia</v>
          </cell>
          <cell r="D145" t="str">
            <v>S&amp;P/ASX 300 A-REITs</v>
          </cell>
          <cell r="E145" t="str">
            <v>VAP</v>
          </cell>
          <cell r="F145">
            <v>0.23</v>
          </cell>
          <cell r="G145">
            <v>40466</v>
          </cell>
          <cell r="H145">
            <v>1024333852.7</v>
          </cell>
          <cell r="I145">
            <v>52868595.245000005</v>
          </cell>
          <cell r="J145" t="str">
            <v>Vanguard</v>
          </cell>
          <cell r="K145">
            <v>3023</v>
          </cell>
          <cell r="L145">
            <v>1036665135.6</v>
          </cell>
          <cell r="M145">
            <v>1036665135.6</v>
          </cell>
          <cell r="N145">
            <v>-12331282.899999976</v>
          </cell>
          <cell r="O145">
            <v>80.14</v>
          </cell>
          <cell r="P145">
            <v>12781805</v>
          </cell>
          <cell r="Q145">
            <v>12611498</v>
          </cell>
          <cell r="R145">
            <v>13648402.98</v>
          </cell>
        </row>
        <row r="146">
          <cell r="A146" t="str">
            <v>VAS</v>
          </cell>
          <cell r="B146" t="str">
            <v>Vanguard Australian Shares Index ETF</v>
          </cell>
          <cell r="C146" t="str">
            <v>Equity - Australia</v>
          </cell>
          <cell r="D146" t="str">
            <v>S&amp;P/ASX 300</v>
          </cell>
          <cell r="E146" t="str">
            <v>VAS</v>
          </cell>
          <cell r="F146">
            <v>0.14000000000000001</v>
          </cell>
          <cell r="G146">
            <v>39941</v>
          </cell>
          <cell r="H146">
            <v>2834011422.8800001</v>
          </cell>
          <cell r="I146">
            <v>166358637.595</v>
          </cell>
          <cell r="J146" t="str">
            <v>Vanguard</v>
          </cell>
          <cell r="K146">
            <v>5684</v>
          </cell>
          <cell r="L146">
            <v>2711251934.2999997</v>
          </cell>
          <cell r="M146">
            <v>2711251934.2999997</v>
          </cell>
          <cell r="N146">
            <v>122759488.5800004</v>
          </cell>
          <cell r="O146">
            <v>79.760000000000005</v>
          </cell>
          <cell r="P146">
            <v>35531738</v>
          </cell>
          <cell r="Q146">
            <v>35051738</v>
          </cell>
          <cell r="R146">
            <v>38284800</v>
          </cell>
        </row>
        <row r="147">
          <cell r="A147" t="str">
            <v>VBND</v>
          </cell>
          <cell r="B147" t="str">
            <v>Vanguard Global Aggregate Bond Index (Hedged) ETF</v>
          </cell>
          <cell r="C147" t="str">
            <v>Fixed Income - Global</v>
          </cell>
          <cell r="D147" t="str">
            <v>Bloomberg Barclays Global Aggregate Float Adjusted Bond Index hedged into Australian dollars</v>
          </cell>
          <cell r="E147" t="str">
            <v>VBND</v>
          </cell>
          <cell r="F147">
            <v>0.2</v>
          </cell>
          <cell r="G147">
            <v>43020</v>
          </cell>
          <cell r="H147">
            <v>16725346.560000001</v>
          </cell>
          <cell r="I147">
            <v>2734194.0200000005</v>
          </cell>
          <cell r="J147" t="str">
            <v>Vanguard</v>
          </cell>
          <cell r="K147">
            <v>89</v>
          </cell>
          <cell r="L147">
            <v>15489748.280000001</v>
          </cell>
          <cell r="M147">
            <v>15489748.280000001</v>
          </cell>
          <cell r="N147">
            <v>1235598.2799999993</v>
          </cell>
          <cell r="O147">
            <v>49.92</v>
          </cell>
          <cell r="P147">
            <v>335043</v>
          </cell>
          <cell r="Q147">
            <v>310043</v>
          </cell>
          <cell r="R147">
            <v>1248000</v>
          </cell>
        </row>
        <row r="148">
          <cell r="A148" t="str">
            <v>VCF</v>
          </cell>
          <cell r="B148" t="str">
            <v>Vanguard International Credit Securities Index (Hedged) ETF</v>
          </cell>
          <cell r="C148" t="str">
            <v>Fixed Income - Global</v>
          </cell>
          <cell r="D148" t="str">
            <v>Bloomberg Barclays Global Aggregate Government-related and Corporate Index hedged</v>
          </cell>
          <cell r="E148" t="str">
            <v>VCF</v>
          </cell>
          <cell r="F148">
            <v>0.3</v>
          </cell>
          <cell r="G148">
            <v>42346</v>
          </cell>
          <cell r="H148">
            <v>99424680.599999994</v>
          </cell>
          <cell r="I148">
            <v>4039124.0049999999</v>
          </cell>
          <cell r="J148" t="str">
            <v>Vanguard</v>
          </cell>
          <cell r="K148">
            <v>472</v>
          </cell>
          <cell r="L148">
            <v>100369483.5</v>
          </cell>
          <cell r="M148">
            <v>100369483.5</v>
          </cell>
          <cell r="N148">
            <v>-944802.90000000596</v>
          </cell>
          <cell r="O148">
            <v>47.54</v>
          </cell>
          <cell r="P148">
            <v>2091390</v>
          </cell>
          <cell r="Q148">
            <v>2106390</v>
          </cell>
          <cell r="R148">
            <v>-713100</v>
          </cell>
        </row>
        <row r="149">
          <cell r="A149" t="str">
            <v>VDBA</v>
          </cell>
          <cell r="B149" t="str">
            <v>Vanguard Diversified Balanced Index ETF</v>
          </cell>
          <cell r="C149" t="str">
            <v>Mixed</v>
          </cell>
          <cell r="E149" t="str">
            <v>VDBA</v>
          </cell>
          <cell r="F149">
            <v>0.27</v>
          </cell>
          <cell r="G149">
            <v>43061</v>
          </cell>
          <cell r="H149">
            <v>23650887.599999998</v>
          </cell>
          <cell r="I149">
            <v>4764523.18</v>
          </cell>
          <cell r="J149" t="str">
            <v>Vanguard</v>
          </cell>
          <cell r="K149">
            <v>97</v>
          </cell>
          <cell r="L149">
            <v>19352621.939999998</v>
          </cell>
          <cell r="M149">
            <v>19352621.939999998</v>
          </cell>
          <cell r="N149">
            <v>4298265.66</v>
          </cell>
          <cell r="O149">
            <v>51.4</v>
          </cell>
          <cell r="P149">
            <v>460133.99999999994</v>
          </cell>
          <cell r="Q149">
            <v>380134</v>
          </cell>
          <cell r="R149">
            <v>4111999.9999999967</v>
          </cell>
        </row>
        <row r="150">
          <cell r="A150" t="str">
            <v>VDCO</v>
          </cell>
          <cell r="B150" t="str">
            <v>Vanguard Diversified Conservative Index ETF</v>
          </cell>
          <cell r="C150" t="str">
            <v>Mixed</v>
          </cell>
          <cell r="E150" t="str">
            <v>VDCO</v>
          </cell>
          <cell r="F150">
            <v>0.27</v>
          </cell>
          <cell r="G150">
            <v>43061</v>
          </cell>
          <cell r="H150">
            <v>9674834.5800000001</v>
          </cell>
          <cell r="I150">
            <v>2358718.9899999998</v>
          </cell>
          <cell r="J150" t="str">
            <v>Vanguard</v>
          </cell>
          <cell r="K150">
            <v>34</v>
          </cell>
          <cell r="L150">
            <v>7585921.2800000003</v>
          </cell>
          <cell r="M150">
            <v>7585921.2800000003</v>
          </cell>
          <cell r="N150">
            <v>2088913.2999999998</v>
          </cell>
          <cell r="O150">
            <v>50.91</v>
          </cell>
          <cell r="P150">
            <v>190038</v>
          </cell>
          <cell r="Q150">
            <v>150038</v>
          </cell>
          <cell r="R150">
            <v>2036399.9999999998</v>
          </cell>
        </row>
        <row r="151">
          <cell r="A151" t="str">
            <v>VDGR</v>
          </cell>
          <cell r="B151" t="str">
            <v>Vanguard Diversified Growth Index ETF</v>
          </cell>
          <cell r="C151" t="str">
            <v>Mixed</v>
          </cell>
          <cell r="E151" t="str">
            <v>VDGR</v>
          </cell>
          <cell r="F151">
            <v>0.27</v>
          </cell>
          <cell r="G151">
            <v>43061</v>
          </cell>
          <cell r="H151">
            <v>33424364.399999999</v>
          </cell>
          <cell r="I151">
            <v>7017197.2299999995</v>
          </cell>
          <cell r="J151" t="str">
            <v>Vanguard</v>
          </cell>
          <cell r="K151">
            <v>205</v>
          </cell>
          <cell r="L151">
            <v>26365751.859999999</v>
          </cell>
          <cell r="M151">
            <v>26365751.859999999</v>
          </cell>
          <cell r="N151">
            <v>7058612.5399999991</v>
          </cell>
          <cell r="O151">
            <v>51.8</v>
          </cell>
          <cell r="P151">
            <v>645258</v>
          </cell>
          <cell r="Q151">
            <v>515258</v>
          </cell>
          <cell r="R151">
            <v>6734000</v>
          </cell>
        </row>
        <row r="152">
          <cell r="A152" t="str">
            <v>VDHG</v>
          </cell>
          <cell r="B152" t="str">
            <v>Vanguard Diversified High Growth Index ETF</v>
          </cell>
          <cell r="C152" t="str">
            <v>Mixed</v>
          </cell>
          <cell r="E152" t="str">
            <v>VDHG</v>
          </cell>
          <cell r="F152">
            <v>0.27</v>
          </cell>
          <cell r="G152">
            <v>43061</v>
          </cell>
          <cell r="H152">
            <v>64922632.32</v>
          </cell>
          <cell r="I152">
            <v>6242900.9300000006</v>
          </cell>
          <cell r="J152" t="str">
            <v>Vanguard</v>
          </cell>
          <cell r="K152">
            <v>471</v>
          </cell>
          <cell r="L152">
            <v>59247096.479999997</v>
          </cell>
          <cell r="M152">
            <v>59247096.479999997</v>
          </cell>
          <cell r="N152">
            <v>5675535.8400000036</v>
          </cell>
          <cell r="O152">
            <v>52.32</v>
          </cell>
          <cell r="P152">
            <v>1240876</v>
          </cell>
          <cell r="Q152">
            <v>1150876</v>
          </cell>
          <cell r="R152">
            <v>4708800</v>
          </cell>
        </row>
        <row r="153">
          <cell r="A153" t="str">
            <v>VEQ</v>
          </cell>
          <cell r="B153" t="str">
            <v>Vanguard FTSE Europe Shares ETF</v>
          </cell>
          <cell r="C153" t="str">
            <v>Equity - Global</v>
          </cell>
          <cell r="E153" t="str">
            <v>VEQ</v>
          </cell>
          <cell r="F153">
            <v>0.35</v>
          </cell>
          <cell r="G153">
            <v>42349</v>
          </cell>
          <cell r="H153">
            <v>193627694.09999999</v>
          </cell>
          <cell r="I153">
            <v>13988345.750000002</v>
          </cell>
          <cell r="J153" t="str">
            <v>Vanguard</v>
          </cell>
          <cell r="K153">
            <v>619</v>
          </cell>
          <cell r="L153">
            <v>190664450.59999999</v>
          </cell>
          <cell r="M153">
            <v>190664450.59999999</v>
          </cell>
          <cell r="N153">
            <v>2963243.5</v>
          </cell>
          <cell r="O153">
            <v>55.14</v>
          </cell>
          <cell r="P153">
            <v>3511565</v>
          </cell>
          <cell r="Q153">
            <v>3451565</v>
          </cell>
          <cell r="R153">
            <v>3308400</v>
          </cell>
        </row>
        <row r="154">
          <cell r="A154" t="str">
            <v>VEU</v>
          </cell>
          <cell r="B154" t="str">
            <v>Vanguard All-World ex US Shares Index ETF</v>
          </cell>
          <cell r="C154" t="str">
            <v>Equity - Global</v>
          </cell>
          <cell r="D154" t="str">
            <v>FTSE All World ex-US</v>
          </cell>
          <cell r="E154" t="str">
            <v>VEU</v>
          </cell>
          <cell r="F154">
            <v>0.11</v>
          </cell>
          <cell r="G154">
            <v>39941</v>
          </cell>
          <cell r="H154">
            <v>1243272282.72</v>
          </cell>
          <cell r="I154">
            <v>56916909.825000003</v>
          </cell>
          <cell r="J154" t="str">
            <v>Vanguard</v>
          </cell>
          <cell r="K154">
            <v>2702</v>
          </cell>
          <cell r="L154">
            <v>1231261234.5599999</v>
          </cell>
          <cell r="M154">
            <v>1231261234.5599999</v>
          </cell>
          <cell r="N154">
            <v>12011048.160000086</v>
          </cell>
          <cell r="O154">
            <v>70.03</v>
          </cell>
          <cell r="P154">
            <v>17753424</v>
          </cell>
          <cell r="Q154">
            <v>17295424</v>
          </cell>
          <cell r="R154">
            <v>32073740</v>
          </cell>
        </row>
        <row r="155">
          <cell r="A155" t="str">
            <v>VGAD</v>
          </cell>
          <cell r="B155" t="str">
            <v>Vanguard MSCI Index International Shares (Hedged) ETF</v>
          </cell>
          <cell r="C155" t="str">
            <v>Equity - Global</v>
          </cell>
          <cell r="E155" t="str">
            <v>VGAD</v>
          </cell>
          <cell r="F155">
            <v>0.21</v>
          </cell>
          <cell r="G155">
            <v>41963</v>
          </cell>
          <cell r="H155">
            <v>412887464.64000005</v>
          </cell>
          <cell r="I155">
            <v>27361250.194999993</v>
          </cell>
          <cell r="J155" t="str">
            <v>Vanguard</v>
          </cell>
          <cell r="K155">
            <v>1536</v>
          </cell>
          <cell r="L155">
            <v>404115174.39999998</v>
          </cell>
          <cell r="M155">
            <v>404115174.39999998</v>
          </cell>
          <cell r="N155">
            <v>8772290.2400000691</v>
          </cell>
          <cell r="O155">
            <v>65.73</v>
          </cell>
          <cell r="P155">
            <v>6281568</v>
          </cell>
          <cell r="Q155">
            <v>6141568</v>
          </cell>
          <cell r="R155">
            <v>9202200</v>
          </cell>
        </row>
        <row r="156">
          <cell r="A156" t="str">
            <v>VGB</v>
          </cell>
          <cell r="B156" t="str">
            <v>Vanguard Australian Government Bond Index ETF</v>
          </cell>
          <cell r="C156" t="str">
            <v>Fixed Income - Australia</v>
          </cell>
          <cell r="D156" t="str">
            <v>Bloomberg AusBond Govt 0+ Yr Index</v>
          </cell>
          <cell r="E156" t="str">
            <v>VGB</v>
          </cell>
          <cell r="F156">
            <v>0.2</v>
          </cell>
          <cell r="G156">
            <v>41029</v>
          </cell>
          <cell r="H156">
            <v>137176340.40000001</v>
          </cell>
          <cell r="I156">
            <v>5370206.9950000001</v>
          </cell>
          <cell r="J156" t="str">
            <v>Vanguard</v>
          </cell>
          <cell r="K156">
            <v>380</v>
          </cell>
          <cell r="L156">
            <v>136674475.74000001</v>
          </cell>
          <cell r="M156">
            <v>136674475.74000001</v>
          </cell>
          <cell r="N156">
            <v>501864.65999999642</v>
          </cell>
          <cell r="O156">
            <v>49.2</v>
          </cell>
          <cell r="P156">
            <v>2788137</v>
          </cell>
          <cell r="Q156">
            <v>2788137</v>
          </cell>
          <cell r="R156">
            <v>0</v>
          </cell>
        </row>
        <row r="157">
          <cell r="A157" t="str">
            <v>VGE</v>
          </cell>
          <cell r="B157" t="str">
            <v>Vanguard FTSE Emerging Markets Shares ETF</v>
          </cell>
          <cell r="C157" t="str">
            <v>Equity - Global</v>
          </cell>
          <cell r="D157" t="str">
            <v>FTSE Emerging Index (in AUD)</v>
          </cell>
          <cell r="E157" t="str">
            <v>VGE</v>
          </cell>
          <cell r="F157">
            <v>0.48</v>
          </cell>
          <cell r="G157">
            <v>41599</v>
          </cell>
          <cell r="H157">
            <v>203945688.18000001</v>
          </cell>
          <cell r="I157">
            <v>21249035.600000005</v>
          </cell>
          <cell r="J157" t="str">
            <v>Vanguard</v>
          </cell>
          <cell r="K157">
            <v>1237</v>
          </cell>
          <cell r="L157">
            <v>210136171.88</v>
          </cell>
          <cell r="M157">
            <v>210136171.88</v>
          </cell>
          <cell r="N157">
            <v>-6190483.6999999881</v>
          </cell>
          <cell r="O157">
            <v>63.79</v>
          </cell>
          <cell r="P157">
            <v>3197142</v>
          </cell>
          <cell r="Q157">
            <v>3177142</v>
          </cell>
          <cell r="R157">
            <v>1275800</v>
          </cell>
        </row>
        <row r="158">
          <cell r="A158" t="str">
            <v>VGS</v>
          </cell>
          <cell r="B158" t="str">
            <v>Vanguard MSCI Index International Shares ETF</v>
          </cell>
          <cell r="C158" t="str">
            <v>Equity - Global</v>
          </cell>
          <cell r="E158" t="str">
            <v>VGS</v>
          </cell>
          <cell r="F158">
            <v>0.18</v>
          </cell>
          <cell r="G158">
            <v>41963</v>
          </cell>
          <cell r="H158">
            <v>1097479156.5</v>
          </cell>
          <cell r="I158">
            <v>73935460.390000015</v>
          </cell>
          <cell r="J158" t="str">
            <v>Vanguard</v>
          </cell>
          <cell r="K158">
            <v>2863</v>
          </cell>
          <cell r="L158">
            <v>1051722982.8000001</v>
          </cell>
          <cell r="M158">
            <v>1051722982.8000001</v>
          </cell>
          <cell r="N158">
            <v>45756173.699999928</v>
          </cell>
          <cell r="O158">
            <v>69.5</v>
          </cell>
          <cell r="P158">
            <v>15791067</v>
          </cell>
          <cell r="Q158">
            <v>15376067</v>
          </cell>
          <cell r="R158">
            <v>28842500</v>
          </cell>
        </row>
        <row r="159">
          <cell r="A159" t="str">
            <v>VHY</v>
          </cell>
          <cell r="B159" t="str">
            <v>Vanguard Australian Shares High Yield ETF</v>
          </cell>
          <cell r="C159" t="str">
            <v>Equity - Australia</v>
          </cell>
          <cell r="D159" t="str">
            <v>FTSE ASFA Australia High Dividend Yield Index</v>
          </cell>
          <cell r="E159" t="str">
            <v>VHY</v>
          </cell>
          <cell r="F159">
            <v>0.25</v>
          </cell>
          <cell r="G159">
            <v>40689</v>
          </cell>
          <cell r="H159">
            <v>1075499904.5999999</v>
          </cell>
          <cell r="I159">
            <v>50881903.620000005</v>
          </cell>
          <cell r="J159" t="str">
            <v>Vanguard</v>
          </cell>
          <cell r="K159">
            <v>1772</v>
          </cell>
          <cell r="L159">
            <v>1032219926.01</v>
          </cell>
          <cell r="M159">
            <v>1032219926.01</v>
          </cell>
          <cell r="N159">
            <v>43279978.589999914</v>
          </cell>
          <cell r="O159">
            <v>59.4</v>
          </cell>
          <cell r="P159">
            <v>18106059</v>
          </cell>
          <cell r="Q159">
            <v>17986059</v>
          </cell>
          <cell r="R159">
            <v>7128000</v>
          </cell>
        </row>
        <row r="160">
          <cell r="A160" t="str">
            <v>VIF</v>
          </cell>
          <cell r="B160" t="str">
            <v>Vanguard International Fixed Interest Index (Hedged) ETF</v>
          </cell>
          <cell r="C160" t="str">
            <v>Fixed Income - Global</v>
          </cell>
          <cell r="D160" t="str">
            <v>Bloomberg Barclays Global Treasury Index hedged</v>
          </cell>
          <cell r="E160" t="str">
            <v>VIF</v>
          </cell>
          <cell r="F160">
            <v>0.2</v>
          </cell>
          <cell r="G160">
            <v>42346</v>
          </cell>
          <cell r="H160">
            <v>196250731.56</v>
          </cell>
          <cell r="I160">
            <v>13764539.034999991</v>
          </cell>
          <cell r="J160" t="str">
            <v>Vanguard</v>
          </cell>
          <cell r="K160">
            <v>1049</v>
          </cell>
          <cell r="L160">
            <v>189272920.73999998</v>
          </cell>
          <cell r="M160">
            <v>189272920.73999998</v>
          </cell>
          <cell r="N160">
            <v>6977810.8200000226</v>
          </cell>
          <cell r="O160">
            <v>48.36</v>
          </cell>
          <cell r="P160">
            <v>4058121</v>
          </cell>
          <cell r="Q160">
            <v>3948120.9999999995</v>
          </cell>
          <cell r="R160">
            <v>5319600.0000000224</v>
          </cell>
        </row>
        <row r="161">
          <cell r="A161" t="str">
            <v>VLC</v>
          </cell>
          <cell r="B161" t="str">
            <v>Vanguard MSCI Australian Large Companies Index ETF</v>
          </cell>
          <cell r="C161" t="str">
            <v>Equity - Australia</v>
          </cell>
          <cell r="D161" t="str">
            <v>MSCI Australian Shares Large Cap Index</v>
          </cell>
          <cell r="E161" t="str">
            <v>VLC</v>
          </cell>
          <cell r="F161">
            <v>0.2</v>
          </cell>
          <cell r="G161">
            <v>40689</v>
          </cell>
          <cell r="H161">
            <v>83675614.189999998</v>
          </cell>
          <cell r="I161">
            <v>1634898.5299999998</v>
          </cell>
          <cell r="J161" t="str">
            <v>Vanguard</v>
          </cell>
          <cell r="K161">
            <v>97</v>
          </cell>
          <cell r="L161">
            <v>80592068.74000001</v>
          </cell>
          <cell r="M161">
            <v>80592068.74000001</v>
          </cell>
          <cell r="N161">
            <v>3083545.4499999881</v>
          </cell>
          <cell r="O161">
            <v>63.77</v>
          </cell>
          <cell r="P161">
            <v>1312147</v>
          </cell>
          <cell r="Q161">
            <v>1312147.0000000002</v>
          </cell>
          <cell r="R161">
            <v>-1.4847610145807267E-8</v>
          </cell>
        </row>
        <row r="162">
          <cell r="A162" t="str">
            <v>VMIN</v>
          </cell>
          <cell r="B162" t="str">
            <v>Vanguard Global Minimum Volatility Active ETF (Managed Fund)</v>
          </cell>
          <cell r="C162" t="str">
            <v>Equity - Global</v>
          </cell>
          <cell r="D162" t="str">
            <v>FTSE Global All-Cap Index (AUD Hedged)</v>
          </cell>
          <cell r="E162" t="str">
            <v>VMIN</v>
          </cell>
          <cell r="F162">
            <v>0.28000000000000003</v>
          </cell>
          <cell r="G162">
            <v>43207</v>
          </cell>
          <cell r="H162">
            <v>2066399.9999999998</v>
          </cell>
          <cell r="I162">
            <v>730663.55</v>
          </cell>
          <cell r="J162" t="str">
            <v>Vanguard</v>
          </cell>
          <cell r="K162">
            <v>18</v>
          </cell>
          <cell r="L162">
            <v>2050000</v>
          </cell>
          <cell r="M162">
            <v>2050000</v>
          </cell>
          <cell r="N162">
            <v>16399.999999999767</v>
          </cell>
          <cell r="O162">
            <v>51.66</v>
          </cell>
          <cell r="P162">
            <v>40000</v>
          </cell>
          <cell r="Q162">
            <v>40000</v>
          </cell>
          <cell r="R162">
            <v>0</v>
          </cell>
        </row>
        <row r="163">
          <cell r="A163" t="str">
            <v>VSO</v>
          </cell>
          <cell r="B163" t="str">
            <v>Vanguard MSCI Australian Small Companies Index ETF</v>
          </cell>
          <cell r="C163" t="str">
            <v>Equity - Australia</v>
          </cell>
          <cell r="D163" t="str">
            <v>MSCI Australian Shares Small Cap Index</v>
          </cell>
          <cell r="E163" t="str">
            <v>VSO</v>
          </cell>
          <cell r="F163">
            <v>0.3</v>
          </cell>
          <cell r="G163">
            <v>40689</v>
          </cell>
          <cell r="H163">
            <v>189306192.20000002</v>
          </cell>
          <cell r="I163">
            <v>18009974.473200001</v>
          </cell>
          <cell r="J163" t="str">
            <v>Vanguard</v>
          </cell>
          <cell r="K163">
            <v>720</v>
          </cell>
          <cell r="L163">
            <v>175911944.84</v>
          </cell>
          <cell r="M163">
            <v>175911944.84</v>
          </cell>
          <cell r="N163">
            <v>13394247.360000014</v>
          </cell>
          <cell r="O163">
            <v>57.95</v>
          </cell>
          <cell r="P163">
            <v>3266716</v>
          </cell>
          <cell r="Q163">
            <v>3086716</v>
          </cell>
          <cell r="R163">
            <v>10431000</v>
          </cell>
        </row>
        <row r="164">
          <cell r="A164" t="str">
            <v>VTS</v>
          </cell>
          <cell r="B164" t="str">
            <v>Vanguard US Total Market Shares Index ETF</v>
          </cell>
          <cell r="C164" t="str">
            <v>Equity - Global</v>
          </cell>
          <cell r="D164" t="str">
            <v xml:space="preserve">MSCI US Broad Market </v>
          </cell>
          <cell r="E164" t="str">
            <v>VTS</v>
          </cell>
          <cell r="F164">
            <v>0.04</v>
          </cell>
          <cell r="G164">
            <v>39941</v>
          </cell>
          <cell r="H164">
            <v>1343711371.5</v>
          </cell>
          <cell r="I164">
            <v>52318153.31499999</v>
          </cell>
          <cell r="J164" t="str">
            <v>Vanguard</v>
          </cell>
          <cell r="K164">
            <v>2334</v>
          </cell>
          <cell r="L164">
            <v>1296036217.6000001</v>
          </cell>
          <cell r="M164">
            <v>1296036217.6000001</v>
          </cell>
          <cell r="N164">
            <v>47675153.899999857</v>
          </cell>
          <cell r="O164">
            <v>190.5</v>
          </cell>
          <cell r="P164">
            <v>7053603</v>
          </cell>
          <cell r="Q164">
            <v>6952984.0000000009</v>
          </cell>
          <cell r="R164">
            <v>19167919.499999821</v>
          </cell>
        </row>
        <row r="165">
          <cell r="A165" t="str">
            <v>VVLU</v>
          </cell>
          <cell r="B165" t="str">
            <v>Vanguard Global Value Equity Active ETF (Managed Fund)</v>
          </cell>
          <cell r="C165" t="str">
            <v>Equity - Global</v>
          </cell>
          <cell r="D165" t="str">
            <v>FTSE Developed All-Cap in Australian Dollars Index</v>
          </cell>
          <cell r="E165" t="str">
            <v>VVLU</v>
          </cell>
          <cell r="F165">
            <v>0.28000000000000003</v>
          </cell>
          <cell r="G165">
            <v>43207</v>
          </cell>
          <cell r="H165">
            <v>6313200</v>
          </cell>
          <cell r="I165">
            <v>3770336.4500000007</v>
          </cell>
          <cell r="J165" t="str">
            <v>Vanguard</v>
          </cell>
          <cell r="K165">
            <v>80</v>
          </cell>
          <cell r="L165">
            <v>4676400</v>
          </cell>
          <cell r="M165">
            <v>4676400</v>
          </cell>
          <cell r="N165">
            <v>1636800</v>
          </cell>
          <cell r="O165">
            <v>52.61</v>
          </cell>
          <cell r="P165">
            <v>120000</v>
          </cell>
          <cell r="Q165">
            <v>90000</v>
          </cell>
          <cell r="R165">
            <v>1578300</v>
          </cell>
        </row>
        <row r="166">
          <cell r="A166" t="str">
            <v>WDIV</v>
          </cell>
          <cell r="B166" t="str">
            <v>SPDR S&amp;P Global Dividend Fund</v>
          </cell>
          <cell r="C166" t="str">
            <v>Equity - Global</v>
          </cell>
          <cell r="D166" t="str">
            <v>SPDR S&amp;P Global Dividend Aristocrats Fund</v>
          </cell>
          <cell r="E166" t="str">
            <v>WDIV</v>
          </cell>
          <cell r="F166">
            <v>0.5</v>
          </cell>
          <cell r="G166">
            <v>41582</v>
          </cell>
          <cell r="H166">
            <v>169861533.75</v>
          </cell>
          <cell r="I166">
            <v>8424120.9450000003</v>
          </cell>
          <cell r="J166" t="str">
            <v>StateStreet</v>
          </cell>
          <cell r="K166">
            <v>574</v>
          </cell>
          <cell r="L166">
            <v>176291333.75</v>
          </cell>
          <cell r="M166">
            <v>176291333.75</v>
          </cell>
          <cell r="N166">
            <v>-6429800</v>
          </cell>
          <cell r="O166">
            <v>18.39</v>
          </cell>
          <cell r="P166">
            <v>9236625</v>
          </cell>
          <cell r="Q166">
            <v>9186625</v>
          </cell>
          <cell r="R166">
            <v>919500</v>
          </cell>
        </row>
        <row r="167">
          <cell r="A167" t="str">
            <v>WDMF</v>
          </cell>
          <cell r="B167" t="str">
            <v>iShares Edge MSCI World Multifactor ETF</v>
          </cell>
          <cell r="C167" t="str">
            <v>Equity - Global</v>
          </cell>
          <cell r="D167" t="str">
            <v>MSCI World Diversified Multiple-Factor (AUD) Index</v>
          </cell>
          <cell r="E167" t="str">
            <v>WDMF</v>
          </cell>
          <cell r="F167">
            <v>0.35</v>
          </cell>
          <cell r="G167">
            <v>42657</v>
          </cell>
          <cell r="H167">
            <v>70986096.480000004</v>
          </cell>
          <cell r="I167">
            <v>11384974.261999998</v>
          </cell>
          <cell r="J167" t="str">
            <v>iShares</v>
          </cell>
          <cell r="K167">
            <v>289</v>
          </cell>
          <cell r="L167">
            <v>63287732.519999996</v>
          </cell>
          <cell r="M167">
            <v>63287732.519999996</v>
          </cell>
          <cell r="N167">
            <v>7698363.9600000083</v>
          </cell>
          <cell r="O167">
            <v>32.24</v>
          </cell>
          <cell r="P167">
            <v>2201802</v>
          </cell>
          <cell r="Q167">
            <v>1961802</v>
          </cell>
          <cell r="R167">
            <v>7737600.0000000009</v>
          </cell>
        </row>
        <row r="168">
          <cell r="A168" t="str">
            <v>WEMG</v>
          </cell>
          <cell r="B168" t="str">
            <v>SPDR S&amp;P Emerging Markets Fund</v>
          </cell>
          <cell r="C168" t="str">
            <v>Equity - Global</v>
          </cell>
          <cell r="D168" t="str">
            <v>SPDR S&amp;P Emerging Markets Large Mid Cap Index</v>
          </cell>
          <cell r="E168" t="str">
            <v>WEMG</v>
          </cell>
          <cell r="F168">
            <v>0.65</v>
          </cell>
          <cell r="G168">
            <v>41582</v>
          </cell>
          <cell r="H168">
            <v>19551262.5</v>
          </cell>
          <cell r="I168">
            <v>1819348.05</v>
          </cell>
          <cell r="J168" t="str">
            <v>StateStreet</v>
          </cell>
          <cell r="K168">
            <v>145</v>
          </cell>
          <cell r="L168">
            <v>20521620</v>
          </cell>
          <cell r="M168">
            <v>20521620</v>
          </cell>
          <cell r="N168">
            <v>-970357.5</v>
          </cell>
          <cell r="O168">
            <v>20.350000000000001</v>
          </cell>
          <cell r="P168">
            <v>960749.99999999988</v>
          </cell>
          <cell r="Q168">
            <v>960750</v>
          </cell>
          <cell r="R168">
            <v>-2.3690517991781236E-9</v>
          </cell>
        </row>
        <row r="169">
          <cell r="A169" t="str">
            <v>WRLD</v>
          </cell>
          <cell r="B169" t="str">
            <v>BetaShares Managed Risk Global Share Fund (Managed Fund)</v>
          </cell>
          <cell r="C169" t="str">
            <v>Equity - Global</v>
          </cell>
          <cell r="E169" t="str">
            <v>WRLD</v>
          </cell>
          <cell r="F169">
            <v>0.54</v>
          </cell>
          <cell r="G169">
            <v>42359</v>
          </cell>
          <cell r="H169">
            <v>28823233.32</v>
          </cell>
          <cell r="I169">
            <v>3657038.0199999996</v>
          </cell>
          <cell r="J169" t="str">
            <v>BetaShares</v>
          </cell>
          <cell r="K169">
            <v>167</v>
          </cell>
          <cell r="L169">
            <v>28486119.48</v>
          </cell>
          <cell r="M169">
            <v>28486119.48</v>
          </cell>
          <cell r="N169">
            <v>337113.83999999985</v>
          </cell>
          <cell r="O169">
            <v>11.97</v>
          </cell>
          <cell r="P169">
            <v>2407956</v>
          </cell>
          <cell r="Q169">
            <v>2407956</v>
          </cell>
          <cell r="R169">
            <v>0</v>
          </cell>
        </row>
        <row r="170">
          <cell r="A170" t="str">
            <v>WVOL</v>
          </cell>
          <cell r="B170" t="str">
            <v>iShares Edge MSCI World Minimum Volatility ETF</v>
          </cell>
          <cell r="C170" t="str">
            <v>Equity - Global</v>
          </cell>
          <cell r="D170" t="str">
            <v>MSCI World Minimum Volatility (AUD) Index</v>
          </cell>
          <cell r="E170" t="str">
            <v>WVOL</v>
          </cell>
          <cell r="F170">
            <v>0.3</v>
          </cell>
          <cell r="G170">
            <v>42657</v>
          </cell>
          <cell r="H170">
            <v>10510732.1</v>
          </cell>
          <cell r="I170">
            <v>1227176.6300000001</v>
          </cell>
          <cell r="J170" t="str">
            <v>iShares</v>
          </cell>
          <cell r="K170">
            <v>76</v>
          </cell>
          <cell r="L170">
            <v>10276359</v>
          </cell>
          <cell r="M170">
            <v>10276359</v>
          </cell>
          <cell r="N170">
            <v>234373.09999999963</v>
          </cell>
          <cell r="O170">
            <v>29.15</v>
          </cell>
          <cell r="P170">
            <v>360574</v>
          </cell>
          <cell r="Q170">
            <v>360574</v>
          </cell>
          <cell r="R170">
            <v>0</v>
          </cell>
        </row>
        <row r="171">
          <cell r="A171" t="str">
            <v>WXHG</v>
          </cell>
          <cell r="B171" t="str">
            <v>SPDR S&amp;P World ex Australian (Hedged) Fund</v>
          </cell>
          <cell r="C171" t="str">
            <v>Equity - Global</v>
          </cell>
          <cell r="D171" t="str">
            <v>S&amp;P Developed ex Australia LargeMidCap Hedged AUD</v>
          </cell>
          <cell r="E171" t="str">
            <v>WXHG</v>
          </cell>
          <cell r="F171">
            <v>0.35</v>
          </cell>
          <cell r="G171">
            <v>41464</v>
          </cell>
          <cell r="H171">
            <v>82469437.709999993</v>
          </cell>
          <cell r="I171">
            <v>2308572.31</v>
          </cell>
          <cell r="J171" t="str">
            <v>StateStreet</v>
          </cell>
          <cell r="K171">
            <v>372</v>
          </cell>
          <cell r="L171">
            <v>83461515.480000004</v>
          </cell>
          <cell r="M171">
            <v>83461515.480000004</v>
          </cell>
          <cell r="N171">
            <v>-992077.77000001073</v>
          </cell>
          <cell r="O171">
            <v>22.11</v>
          </cell>
          <cell r="P171">
            <v>3729961</v>
          </cell>
          <cell r="Q171">
            <v>3679961</v>
          </cell>
          <cell r="R171">
            <v>1105500</v>
          </cell>
        </row>
        <row r="172">
          <cell r="A172" t="str">
            <v>WXOZ</v>
          </cell>
          <cell r="B172" t="str">
            <v>SPDR S&amp;P World ex Australian Fund</v>
          </cell>
          <cell r="C172" t="str">
            <v>Equity - Global</v>
          </cell>
          <cell r="D172" t="str">
            <v>S&amp;P Developed ex Australia LargeMidCap AUD</v>
          </cell>
          <cell r="E172" t="str">
            <v>WXOZ</v>
          </cell>
          <cell r="F172">
            <v>0.3</v>
          </cell>
          <cell r="G172">
            <v>41352</v>
          </cell>
          <cell r="H172">
            <v>171507083.46000001</v>
          </cell>
          <cell r="I172">
            <v>2741163.6700000004</v>
          </cell>
          <cell r="J172" t="str">
            <v>StateStreet</v>
          </cell>
          <cell r="K172">
            <v>119</v>
          </cell>
          <cell r="L172">
            <v>170941800.59999999</v>
          </cell>
          <cell r="M172">
            <v>170941800.59999999</v>
          </cell>
          <cell r="N172">
            <v>565282.86000001431</v>
          </cell>
          <cell r="O172">
            <v>29.23</v>
          </cell>
          <cell r="P172">
            <v>5867502</v>
          </cell>
          <cell r="Q172">
            <v>5808420</v>
          </cell>
          <cell r="R172">
            <v>1726966.86</v>
          </cell>
        </row>
        <row r="173">
          <cell r="A173" t="str">
            <v>YANK</v>
          </cell>
          <cell r="B173" t="str">
            <v>BetaShares Strong US Dollar Fund (Hedge Fund)</v>
          </cell>
          <cell r="C173" t="str">
            <v>Currency</v>
          </cell>
          <cell r="E173" t="str">
            <v>YANK</v>
          </cell>
          <cell r="F173">
            <v>1.38</v>
          </cell>
          <cell r="G173">
            <v>42759</v>
          </cell>
          <cell r="H173">
            <v>11880000</v>
          </cell>
          <cell r="I173">
            <v>7234207.6900000004</v>
          </cell>
          <cell r="J173" t="str">
            <v>BetaShares</v>
          </cell>
          <cell r="K173">
            <v>148</v>
          </cell>
          <cell r="L173">
            <v>12600000</v>
          </cell>
          <cell r="M173">
            <v>12600000</v>
          </cell>
          <cell r="N173">
            <v>-720000</v>
          </cell>
          <cell r="O173">
            <v>14.85</v>
          </cell>
          <cell r="P173">
            <v>800000</v>
          </cell>
          <cell r="Q173">
            <v>900000</v>
          </cell>
          <cell r="R173">
            <v>-1485000</v>
          </cell>
        </row>
        <row r="174">
          <cell r="A174" t="str">
            <v>YMAX</v>
          </cell>
          <cell r="B174" t="str">
            <v>BetaShares Australia Top20 Equity Yield Max Fund</v>
          </cell>
          <cell r="C174" t="str">
            <v>Equity - Australia</v>
          </cell>
          <cell r="D174" t="str">
            <v xml:space="preserve">S&amp;P/ASX 200 </v>
          </cell>
          <cell r="E174" t="str">
            <v>YMAX</v>
          </cell>
          <cell r="F174">
            <v>0.79</v>
          </cell>
          <cell r="G174">
            <v>41239</v>
          </cell>
          <cell r="H174">
            <v>373947087.06</v>
          </cell>
          <cell r="I174">
            <v>29578124.109999999</v>
          </cell>
          <cell r="J174" t="str">
            <v>BetaShares</v>
          </cell>
          <cell r="K174">
            <v>669</v>
          </cell>
          <cell r="L174">
            <v>369692195.68000001</v>
          </cell>
          <cell r="M174">
            <v>369692195.68000001</v>
          </cell>
          <cell r="N174">
            <v>4254891.3799999952</v>
          </cell>
          <cell r="O174">
            <v>8.99</v>
          </cell>
          <cell r="P174">
            <v>41595894</v>
          </cell>
          <cell r="Q174">
            <v>42395894</v>
          </cell>
          <cell r="R174">
            <v>-7192000</v>
          </cell>
        </row>
        <row r="175">
          <cell r="A175" t="str">
            <v>ZCNH</v>
          </cell>
          <cell r="B175" t="str">
            <v>ETFS Physical Renminbi ETF</v>
          </cell>
          <cell r="C175" t="str">
            <v>Currency</v>
          </cell>
          <cell r="D175" t="str">
            <v>CNH/AUD</v>
          </cell>
          <cell r="E175" t="str">
            <v>ZCNH</v>
          </cell>
          <cell r="F175">
            <v>0.3</v>
          </cell>
          <cell r="G175">
            <v>42167</v>
          </cell>
          <cell r="H175">
            <v>485500.00000000006</v>
          </cell>
          <cell r="I175">
            <v>77543.41</v>
          </cell>
          <cell r="J175" t="str">
            <v>ETFS</v>
          </cell>
          <cell r="K175">
            <v>10</v>
          </cell>
          <cell r="L175">
            <v>490500</v>
          </cell>
          <cell r="M175">
            <v>490500</v>
          </cell>
          <cell r="N175">
            <v>-4999.9999999999418</v>
          </cell>
          <cell r="O175">
            <v>9.7100000000000009</v>
          </cell>
          <cell r="P175">
            <v>50000</v>
          </cell>
          <cell r="Q175">
            <v>50000</v>
          </cell>
          <cell r="R175">
            <v>0</v>
          </cell>
        </row>
        <row r="176">
          <cell r="A176" t="str">
            <v>ZGOL</v>
          </cell>
          <cell r="B176" t="str">
            <v>ETFS Physical Gold ETF</v>
          </cell>
          <cell r="C176" t="str">
            <v xml:space="preserve">Commodity </v>
          </cell>
          <cell r="D176" t="str">
            <v>LBMA Gold Price AM USD</v>
          </cell>
          <cell r="E176" t="str">
            <v>ZGOL</v>
          </cell>
          <cell r="F176">
            <v>0.4</v>
          </cell>
          <cell r="G176">
            <v>42167</v>
          </cell>
          <cell r="H176">
            <v>13467682.360000001</v>
          </cell>
          <cell r="I176">
            <v>2438117.21</v>
          </cell>
          <cell r="J176" t="str">
            <v>ETFS</v>
          </cell>
          <cell r="K176">
            <v>287</v>
          </cell>
          <cell r="L176">
            <v>13644465.780000001</v>
          </cell>
          <cell r="M176">
            <v>13644465.780000001</v>
          </cell>
          <cell r="N176">
            <v>-176783.41999999993</v>
          </cell>
          <cell r="O176">
            <v>16.760000000000002</v>
          </cell>
          <cell r="P176">
            <v>803561</v>
          </cell>
          <cell r="Q176">
            <v>803561</v>
          </cell>
          <cell r="R176">
            <v>0</v>
          </cell>
        </row>
        <row r="177">
          <cell r="A177" t="str">
            <v>ZOZI</v>
          </cell>
          <cell r="B177" t="str">
            <v>ETFS S&amp;P/ASX 100 ETF</v>
          </cell>
          <cell r="C177" t="str">
            <v>Equity - Australia</v>
          </cell>
          <cell r="D177" t="str">
            <v>S&amp;P/ASX 100 Index</v>
          </cell>
          <cell r="E177" t="str">
            <v>ZOZI</v>
          </cell>
          <cell r="F177">
            <v>0.24</v>
          </cell>
          <cell r="G177">
            <v>42167</v>
          </cell>
          <cell r="H177">
            <v>9468908.6399999987</v>
          </cell>
          <cell r="I177">
            <v>500498.93000000005</v>
          </cell>
          <cell r="J177" t="str">
            <v>ETFS</v>
          </cell>
          <cell r="K177">
            <v>16</v>
          </cell>
          <cell r="L177">
            <v>9185870.6100000013</v>
          </cell>
          <cell r="M177">
            <v>9185870.6100000013</v>
          </cell>
          <cell r="N177">
            <v>283038.02999999747</v>
          </cell>
          <cell r="O177">
            <v>11.04</v>
          </cell>
          <cell r="P177">
            <v>857691</v>
          </cell>
          <cell r="Q177">
            <v>857691</v>
          </cell>
          <cell r="R177">
            <v>0</v>
          </cell>
        </row>
        <row r="178">
          <cell r="A178" t="str">
            <v>ZUSD</v>
          </cell>
          <cell r="B178" t="str">
            <v>ETFS Physical US Dollar ETF</v>
          </cell>
          <cell r="C178" t="str">
            <v>Currency</v>
          </cell>
          <cell r="D178" t="str">
            <v>USD/AUD</v>
          </cell>
          <cell r="E178" t="str">
            <v>ZUSD</v>
          </cell>
          <cell r="F178">
            <v>0.3</v>
          </cell>
          <cell r="G178">
            <v>42167</v>
          </cell>
          <cell r="H178">
            <v>19869150</v>
          </cell>
          <cell r="I178">
            <v>2601578.7900000005</v>
          </cell>
          <cell r="J178" t="str">
            <v>ETFS</v>
          </cell>
          <cell r="K178">
            <v>83</v>
          </cell>
          <cell r="L178">
            <v>19373850</v>
          </cell>
          <cell r="M178">
            <v>19373850</v>
          </cell>
          <cell r="N178">
            <v>495300</v>
          </cell>
          <cell r="O178">
            <v>10.43</v>
          </cell>
          <cell r="P178">
            <v>1905000</v>
          </cell>
          <cell r="Q178">
            <v>1905000</v>
          </cell>
          <cell r="R178">
            <v>0</v>
          </cell>
        </row>
        <row r="179">
          <cell r="A179" t="str">
            <v>ZYAU</v>
          </cell>
          <cell r="B179" t="str">
            <v>ETFS S&amp;P/ASX 300 High Yield Plus ETF</v>
          </cell>
          <cell r="C179" t="str">
            <v>Equity - Australia</v>
          </cell>
          <cell r="D179" t="str">
            <v>S&amp;P/ASX 300 Shareholder Yield Index</v>
          </cell>
          <cell r="E179" t="str">
            <v>ZYAU</v>
          </cell>
          <cell r="F179">
            <v>0.35</v>
          </cell>
          <cell r="G179">
            <v>42167</v>
          </cell>
          <cell r="H179">
            <v>63527364.560000002</v>
          </cell>
          <cell r="I179">
            <v>10583808.23</v>
          </cell>
          <cell r="J179" t="str">
            <v>ETFS</v>
          </cell>
          <cell r="K179">
            <v>302</v>
          </cell>
          <cell r="L179">
            <v>57503842.879999995</v>
          </cell>
          <cell r="M179">
            <v>57503842.879999995</v>
          </cell>
          <cell r="N179">
            <v>6023521.6800000072</v>
          </cell>
          <cell r="O179">
            <v>11.32</v>
          </cell>
          <cell r="P179">
            <v>5611958</v>
          </cell>
          <cell r="Q179">
            <v>5061958</v>
          </cell>
          <cell r="R179">
            <v>6226000</v>
          </cell>
        </row>
        <row r="180">
          <cell r="A180" t="str">
            <v>ZYUS</v>
          </cell>
          <cell r="B180" t="str">
            <v>ETFS S&amp;P 500 High Yield Low Volatility ETF</v>
          </cell>
          <cell r="C180" t="str">
            <v>Equity - Global</v>
          </cell>
          <cell r="D180" t="str">
            <v>S&amp;P 500 Low Volatility High Dividend Index</v>
          </cell>
          <cell r="E180" t="str">
            <v>ZYUS</v>
          </cell>
          <cell r="F180">
            <v>0.35</v>
          </cell>
          <cell r="G180">
            <v>42167</v>
          </cell>
          <cell r="H180">
            <v>51674382.039999999</v>
          </cell>
          <cell r="I180">
            <v>3341374.5200000005</v>
          </cell>
          <cell r="J180" t="str">
            <v>ETFS</v>
          </cell>
          <cell r="K180">
            <v>150</v>
          </cell>
          <cell r="L180">
            <v>52097453.640000001</v>
          </cell>
          <cell r="M180">
            <v>52097453.640000001</v>
          </cell>
          <cell r="N180">
            <v>-423071.60000000149</v>
          </cell>
          <cell r="O180">
            <v>12.62</v>
          </cell>
          <cell r="P180">
            <v>4094642</v>
          </cell>
          <cell r="Q180">
            <v>4194642</v>
          </cell>
          <cell r="R180">
            <v>-1262000</v>
          </cell>
        </row>
        <row r="182">
          <cell r="H182">
            <v>38822006312.055</v>
          </cell>
          <cell r="M182">
            <v>37990777707.87999</v>
          </cell>
          <cell r="N182">
            <v>835631194.1650008</v>
          </cell>
          <cell r="R182">
            <v>510937036.10499936</v>
          </cell>
        </row>
        <row r="184">
          <cell r="A184" t="str">
            <v>Number:</v>
          </cell>
          <cell r="M184" t="str">
            <v>IEM</v>
          </cell>
          <cell r="N184">
            <v>-43807568.899999976</v>
          </cell>
        </row>
        <row r="185">
          <cell r="M185" t="str">
            <v>SFY</v>
          </cell>
          <cell r="N185">
            <v>-21511000.49000001</v>
          </cell>
        </row>
        <row r="186">
          <cell r="A186" t="str">
            <v>Equity - Australia</v>
          </cell>
          <cell r="B186">
            <v>45</v>
          </cell>
          <cell r="M186" t="str">
            <v>IAF</v>
          </cell>
          <cell r="N186">
            <v>-19541588</v>
          </cell>
        </row>
        <row r="187">
          <cell r="A187" t="str">
            <v>Equity - Global</v>
          </cell>
          <cell r="B187">
            <v>72</v>
          </cell>
          <cell r="M187" t="str">
            <v>QOZ</v>
          </cell>
          <cell r="N187">
            <v>-16706784.560000002</v>
          </cell>
        </row>
        <row r="188">
          <cell r="A188" t="str">
            <v>Infrastructure</v>
          </cell>
          <cell r="B188">
            <v>4</v>
          </cell>
        </row>
        <row r="189">
          <cell r="A189" t="str">
            <v>Fixed Income - Australia</v>
          </cell>
          <cell r="B189">
            <v>68</v>
          </cell>
          <cell r="C189" t="str">
            <v>*CAUTION: incl. MFSA</v>
          </cell>
        </row>
        <row r="190">
          <cell r="A190" t="str">
            <v>Fixed Income - Global</v>
          </cell>
          <cell r="B190">
            <v>7</v>
          </cell>
        </row>
        <row r="191">
          <cell r="A191" t="str">
            <v>Property - Australia</v>
          </cell>
          <cell r="B191">
            <v>4</v>
          </cell>
        </row>
        <row r="192">
          <cell r="A192" t="str">
            <v>Property - Global</v>
          </cell>
          <cell r="B192">
            <v>2</v>
          </cell>
        </row>
        <row r="193">
          <cell r="A193" t="str">
            <v xml:space="preserve">Commodity </v>
          </cell>
          <cell r="B193">
            <v>11</v>
          </cell>
        </row>
        <row r="194">
          <cell r="A194" t="str">
            <v>Currency</v>
          </cell>
          <cell r="B194">
            <v>7</v>
          </cell>
        </row>
        <row r="195">
          <cell r="A195" t="str">
            <v>Total</v>
          </cell>
          <cell r="B195">
            <v>220</v>
          </cell>
        </row>
        <row r="198">
          <cell r="B198" t="str">
            <v>FUM</v>
          </cell>
        </row>
        <row r="201">
          <cell r="B201" t="str">
            <v>FUM</v>
          </cell>
          <cell r="C201" t="str">
            <v>Value Transacted</v>
          </cell>
          <cell r="D201" t="str">
            <v>Change in FUM</v>
          </cell>
          <cell r="E201" t="str">
            <v>Units Inflow / Outflow</v>
          </cell>
        </row>
        <row r="202">
          <cell r="A202" t="str">
            <v>Equity - Australia</v>
          </cell>
          <cell r="B202">
            <v>13647949347.415001</v>
          </cell>
          <cell r="C202">
            <v>888.36329336739993</v>
          </cell>
          <cell r="D202">
            <v>483154.32610500086</v>
          </cell>
          <cell r="E202">
            <v>117782.80174499998</v>
          </cell>
          <cell r="G202" t="str">
            <v>Equity - Australia, $13,648 m</v>
          </cell>
          <cell r="H202" t="str">
            <v>Equity - Aust.</v>
          </cell>
        </row>
        <row r="203">
          <cell r="A203" t="str">
            <v>Equity - Global</v>
          </cell>
          <cell r="B203">
            <v>16691173572.599998</v>
          </cell>
          <cell r="C203">
            <v>1087.2248933445999</v>
          </cell>
          <cell r="D203">
            <v>287246.36871999991</v>
          </cell>
          <cell r="E203">
            <v>299311.63709999982</v>
          </cell>
          <cell r="G203" t="str">
            <v>Equity - Global, $16,691 m</v>
          </cell>
          <cell r="H203" t="str">
            <v>Equity - Global</v>
          </cell>
        </row>
        <row r="204">
          <cell r="A204" t="str">
            <v>Infrastructure</v>
          </cell>
          <cell r="B204">
            <v>283107311.77999997</v>
          </cell>
          <cell r="C204">
            <v>11.64113841</v>
          </cell>
          <cell r="D204">
            <v>7816.8500200000235</v>
          </cell>
          <cell r="E204">
            <v>4713.3162000000211</v>
          </cell>
          <cell r="G204" t="str">
            <v>Infrastructure, $283 m</v>
          </cell>
          <cell r="H204" t="str">
            <v>Infrastructure</v>
          </cell>
        </row>
        <row r="205">
          <cell r="A205" t="str">
            <v>Fixed Income - Australia</v>
          </cell>
          <cell r="B205">
            <v>4385742477.1800003</v>
          </cell>
          <cell r="C205">
            <v>409.04908429999995</v>
          </cell>
          <cell r="D205">
            <v>72065.461709999974</v>
          </cell>
          <cell r="E205">
            <v>66344.379869999859</v>
          </cell>
          <cell r="F205" t="str">
            <v>*CAUTION: incl. MFSA</v>
          </cell>
          <cell r="G205" t="str">
            <v>Fixed Income - Australia, $4,386 m</v>
          </cell>
          <cell r="H205" t="str">
            <v>F.I. - Australia</v>
          </cell>
        </row>
        <row r="206">
          <cell r="A206" t="str">
            <v>Fixed Income - Global</v>
          </cell>
          <cell r="B206">
            <v>532474768.43000001</v>
          </cell>
          <cell r="C206">
            <v>38.098361919999988</v>
          </cell>
          <cell r="D206">
            <v>18669.84935</v>
          </cell>
          <cell r="E206">
            <v>16726.10376000002</v>
          </cell>
          <cell r="G206" t="str">
            <v>Fixed Income - Global, $532 m</v>
          </cell>
          <cell r="H206" t="str">
            <v>F.I. - Global</v>
          </cell>
        </row>
        <row r="207">
          <cell r="A207" t="str">
            <v>Property - Australia</v>
          </cell>
          <cell r="B207">
            <v>1708693131.0999999</v>
          </cell>
          <cell r="C207">
            <v>79.868721219999998</v>
          </cell>
          <cell r="D207">
            <v>-28235.116249999985</v>
          </cell>
          <cell r="E207">
            <v>14817.512130000001</v>
          </cell>
          <cell r="G207" t="str">
            <v>Property - Australia, $1,709 m</v>
          </cell>
          <cell r="H207" t="str">
            <v>Property - Aust.</v>
          </cell>
        </row>
        <row r="208">
          <cell r="A208" t="str">
            <v>Property - Global</v>
          </cell>
          <cell r="B208">
            <v>257412533.19999999</v>
          </cell>
          <cell r="C208">
            <v>11.115936274999999</v>
          </cell>
          <cell r="D208">
            <v>6970.9218799999762</v>
          </cell>
          <cell r="E208">
            <v>3323.2472399999992</v>
          </cell>
          <cell r="G208" t="str">
            <v>Property - Global, $257 m</v>
          </cell>
          <cell r="H208" t="str">
            <v>Property - Global</v>
          </cell>
        </row>
        <row r="209">
          <cell r="A209" t="str">
            <v xml:space="preserve">Commodity </v>
          </cell>
          <cell r="B209">
            <v>906913318.10000014</v>
          </cell>
          <cell r="C209">
            <v>40.76022666499999</v>
          </cell>
          <cell r="D209">
            <v>-13715.358880000067</v>
          </cell>
          <cell r="E209">
            <v>-432.80180000016514</v>
          </cell>
          <cell r="G209" t="str">
            <v>Commodity , $907 m</v>
          </cell>
          <cell r="H209" t="str">
            <v xml:space="preserve">Commodity </v>
          </cell>
        </row>
        <row r="210">
          <cell r="A210" t="str">
            <v>Currency</v>
          </cell>
          <cell r="B210">
            <v>528556066.21999997</v>
          </cell>
          <cell r="C210">
            <v>60.275510997599987</v>
          </cell>
          <cell r="D210">
            <v>-4994.1466000000273</v>
          </cell>
          <cell r="E210">
            <v>-18143.5</v>
          </cell>
          <cell r="G210" t="str">
            <v>Currency, $529 m</v>
          </cell>
          <cell r="H210" t="str">
            <v>Currency</v>
          </cell>
        </row>
        <row r="211">
          <cell r="A211" t="str">
            <v>Mixed</v>
          </cell>
          <cell r="B211">
            <v>207676166.75999999</v>
          </cell>
          <cell r="C211">
            <v>23.242773489999998</v>
          </cell>
          <cell r="D211">
            <v>19343.266640000005</v>
          </cell>
          <cell r="E211">
            <v>17584.342840000005</v>
          </cell>
          <cell r="G211" t="str">
            <v>Mixed, $208 m</v>
          </cell>
          <cell r="H211" t="str">
            <v>Mixed</v>
          </cell>
        </row>
        <row r="212">
          <cell r="A212" t="str">
            <v>Total</v>
          </cell>
          <cell r="B212">
            <v>39149698692.784996</v>
          </cell>
          <cell r="C212">
            <v>2649.6399399896</v>
          </cell>
          <cell r="D212">
            <v>848322.42269500077</v>
          </cell>
          <cell r="E212">
            <v>522027.03908499941</v>
          </cell>
          <cell r="G212" t="str">
            <v>Total, $39,150 m</v>
          </cell>
          <cell r="H212" t="str">
            <v>Total</v>
          </cell>
        </row>
        <row r="214">
          <cell r="C214" t="str">
            <v>mcap</v>
          </cell>
          <cell r="D214" t="str">
            <v>number of funds</v>
          </cell>
          <cell r="E214" t="str">
            <v>value Transacted</v>
          </cell>
          <cell r="F214" t="str">
            <v>Trades</v>
          </cell>
        </row>
        <row r="216">
          <cell r="A216" t="str">
            <v>AMP Capital / BetaShares</v>
          </cell>
          <cell r="B216">
            <v>67343000.879999995</v>
          </cell>
          <cell r="C216">
            <v>67.343000879999991</v>
          </cell>
          <cell r="D216">
            <v>3</v>
          </cell>
          <cell r="E216">
            <v>1942143.9999999998</v>
          </cell>
          <cell r="F216">
            <v>89</v>
          </cell>
          <cell r="G216">
            <v>1343153.5599999949</v>
          </cell>
          <cell r="H216">
            <v>278477.65999999997</v>
          </cell>
        </row>
        <row r="217">
          <cell r="A217" t="str">
            <v>Aurora</v>
          </cell>
          <cell r="B217">
            <v>6929291.6449999996</v>
          </cell>
          <cell r="C217">
            <v>6.9292916449999993</v>
          </cell>
          <cell r="D217">
            <v>1</v>
          </cell>
          <cell r="E217">
            <v>74451.395000000004</v>
          </cell>
          <cell r="F217">
            <v>15</v>
          </cell>
          <cell r="G217">
            <v>-360823.28500000015</v>
          </cell>
          <cell r="H217">
            <v>6745.5349999999989</v>
          </cell>
        </row>
        <row r="218">
          <cell r="A218" t="str">
            <v>BetaShares</v>
          </cell>
          <cell r="B218">
            <v>4945559028.170001</v>
          </cell>
          <cell r="C218">
            <v>4945.5590281700006</v>
          </cell>
          <cell r="D218">
            <v>41</v>
          </cell>
          <cell r="E218">
            <v>722365766.01760006</v>
          </cell>
          <cell r="F218">
            <v>19365</v>
          </cell>
          <cell r="G218">
            <v>142774271.6399999</v>
          </cell>
          <cell r="H218">
            <v>79141504.74999994</v>
          </cell>
        </row>
        <row r="219">
          <cell r="A219" t="str">
            <v>ETFS</v>
          </cell>
          <cell r="B219">
            <v>1044956113.49</v>
          </cell>
          <cell r="C219">
            <v>1044.95611349</v>
          </cell>
          <cell r="D219">
            <v>15</v>
          </cell>
          <cell r="E219">
            <v>81677557.995000035</v>
          </cell>
          <cell r="F219">
            <v>6460</v>
          </cell>
          <cell r="G219">
            <v>5580501.9699999616</v>
          </cell>
          <cell r="H219">
            <v>19285646.659999851</v>
          </cell>
        </row>
        <row r="220">
          <cell r="A220" t="str">
            <v>InvestSMART</v>
          </cell>
          <cell r="B220">
            <v>34254256.68</v>
          </cell>
          <cell r="C220">
            <v>34.254256679999997</v>
          </cell>
          <cell r="D220">
            <v>1</v>
          </cell>
          <cell r="E220">
            <v>3769546.88</v>
          </cell>
          <cell r="F220">
            <v>210</v>
          </cell>
          <cell r="G220">
            <v>34254256.68</v>
          </cell>
          <cell r="H220">
            <v>34254256.68</v>
          </cell>
        </row>
        <row r="221">
          <cell r="A221" t="str">
            <v>iShares</v>
          </cell>
          <cell r="B221">
            <v>10853093948.310001</v>
          </cell>
          <cell r="C221">
            <v>10853.093948310001</v>
          </cell>
          <cell r="D221">
            <v>34</v>
          </cell>
          <cell r="E221">
            <v>574549337.0596</v>
          </cell>
          <cell r="F221">
            <v>21682</v>
          </cell>
          <cell r="G221">
            <v>172159877.59000021</v>
          </cell>
          <cell r="H221">
            <v>91317205.379999995</v>
          </cell>
        </row>
        <row r="222">
          <cell r="A222" t="str">
            <v>K2</v>
          </cell>
          <cell r="B222">
            <v>31127661.84</v>
          </cell>
          <cell r="C222">
            <v>31.127661839999998</v>
          </cell>
          <cell r="D222">
            <v>2</v>
          </cell>
          <cell r="E222">
            <v>2497660.3099999996</v>
          </cell>
          <cell r="F222">
            <v>39</v>
          </cell>
          <cell r="G222">
            <v>-217207.56999999844</v>
          </cell>
          <cell r="H222">
            <v>757165.94</v>
          </cell>
        </row>
        <row r="223">
          <cell r="A223" t="str">
            <v>Legg Mason / BetaShares</v>
          </cell>
          <cell r="B223">
            <v>23364763.669999998</v>
          </cell>
          <cell r="C223">
            <v>23.364763669999999</v>
          </cell>
          <cell r="D223">
            <v>2</v>
          </cell>
          <cell r="E223">
            <v>3650556.13</v>
          </cell>
          <cell r="F223">
            <v>81</v>
          </cell>
          <cell r="G223">
            <v>3615945.3099999968</v>
          </cell>
          <cell r="H223">
            <v>3135426.9899999998</v>
          </cell>
        </row>
        <row r="224">
          <cell r="A224" t="str">
            <v>Magellan</v>
          </cell>
          <cell r="B224">
            <v>1297750123.8</v>
          </cell>
          <cell r="C224">
            <v>1297.7501238</v>
          </cell>
          <cell r="D224">
            <v>3</v>
          </cell>
          <cell r="E224">
            <v>50547442.050000004</v>
          </cell>
          <cell r="F224">
            <v>2017</v>
          </cell>
          <cell r="G224">
            <v>9050158.9199998975</v>
          </cell>
          <cell r="H224">
            <v>11690674.440000009</v>
          </cell>
        </row>
        <row r="225">
          <cell r="A225" t="str">
            <v>Montgomery</v>
          </cell>
          <cell r="B225">
            <v>81281129.599999994</v>
          </cell>
          <cell r="C225">
            <v>81.2811296</v>
          </cell>
          <cell r="D225">
            <v>1</v>
          </cell>
          <cell r="E225">
            <v>4567863.7399999993</v>
          </cell>
          <cell r="F225">
            <v>229</v>
          </cell>
          <cell r="G225">
            <v>2485663.299999997</v>
          </cell>
          <cell r="H225">
            <v>3151540.48</v>
          </cell>
        </row>
        <row r="226">
          <cell r="A226" t="str">
            <v>Perennial</v>
          </cell>
          <cell r="B226">
            <v>17739791.370000001</v>
          </cell>
          <cell r="C226">
            <v>17.739791370000003</v>
          </cell>
          <cell r="D226">
            <v>1</v>
          </cell>
          <cell r="E226">
            <v>1238231.73</v>
          </cell>
          <cell r="F226">
            <v>36</v>
          </cell>
          <cell r="G226">
            <v>936251.26999999955</v>
          </cell>
          <cell r="H226">
            <v>302952.02</v>
          </cell>
        </row>
        <row r="227">
          <cell r="A227" t="str">
            <v>Russell Investments</v>
          </cell>
          <cell r="B227">
            <v>639436237.42000008</v>
          </cell>
          <cell r="C227">
            <v>639.43623742000011</v>
          </cell>
          <cell r="D227">
            <v>5</v>
          </cell>
          <cell r="E227">
            <v>24296669.739800006</v>
          </cell>
          <cell r="F227">
            <v>1005</v>
          </cell>
          <cell r="G227">
            <v>-2532599.0099999905</v>
          </cell>
          <cell r="H227">
            <v>-2483250.000000007</v>
          </cell>
        </row>
        <row r="228">
          <cell r="A228" t="str">
            <v>Schroder</v>
          </cell>
          <cell r="B228">
            <v>47150790.900000006</v>
          </cell>
          <cell r="C228">
            <v>47.150790900000004</v>
          </cell>
          <cell r="D228">
            <v>1</v>
          </cell>
          <cell r="E228">
            <v>1993550.86</v>
          </cell>
          <cell r="F228">
            <v>60</v>
          </cell>
          <cell r="G228">
            <v>405779.86000000685</v>
          </cell>
          <cell r="H228">
            <v>-364742.29999999312</v>
          </cell>
        </row>
        <row r="229">
          <cell r="A229" t="str">
            <v>StateStreet</v>
          </cell>
          <cell r="B229">
            <v>5938092392.6300001</v>
          </cell>
          <cell r="C229">
            <v>5938.0923926300002</v>
          </cell>
          <cell r="D229">
            <v>16</v>
          </cell>
          <cell r="E229">
            <v>339949277.46939999</v>
          </cell>
          <cell r="F229">
            <v>9810</v>
          </cell>
          <cell r="G229">
            <v>80933837.930000424</v>
          </cell>
          <cell r="H229">
            <v>-5526633.1400000043</v>
          </cell>
        </row>
        <row r="230">
          <cell r="A230" t="str">
            <v>Switzer</v>
          </cell>
          <cell r="B230">
            <v>77484817.960000008</v>
          </cell>
          <cell r="C230">
            <v>77.484817960000015</v>
          </cell>
          <cell r="D230">
            <v>1</v>
          </cell>
          <cell r="E230">
            <v>4256797.1000000006</v>
          </cell>
          <cell r="F230">
            <v>184</v>
          </cell>
          <cell r="G230">
            <v>475574.88000001013</v>
          </cell>
          <cell r="H230">
            <v>-2263884.3599999906</v>
          </cell>
        </row>
        <row r="231">
          <cell r="A231" t="str">
            <v>The Perth Mint</v>
          </cell>
          <cell r="B231">
            <v>132542236.94999999</v>
          </cell>
          <cell r="C231">
            <v>132.54223694999999</v>
          </cell>
          <cell r="D231">
            <v>1</v>
          </cell>
          <cell r="E231">
            <v>3552361.2400000007</v>
          </cell>
          <cell r="F231">
            <v>211</v>
          </cell>
          <cell r="G231">
            <v>-1715339.8500000238</v>
          </cell>
          <cell r="H231">
            <v>82054.949999984208</v>
          </cell>
        </row>
        <row r="232">
          <cell r="A232" t="str">
            <v>Platinum</v>
          </cell>
          <cell r="B232">
            <v>303091894.64999998</v>
          </cell>
          <cell r="C232">
            <v>303.09189464999997</v>
          </cell>
          <cell r="D232">
            <v>2</v>
          </cell>
          <cell r="E232">
            <v>37429889.280000001</v>
          </cell>
          <cell r="F232">
            <v>1525</v>
          </cell>
          <cell r="G232">
            <v>-27249990.88000001</v>
          </cell>
          <cell r="H232">
            <v>25371361.579999998</v>
          </cell>
        </row>
        <row r="233">
          <cell r="A233" t="str">
            <v>UBS</v>
          </cell>
          <cell r="B233">
            <v>285701306.90000004</v>
          </cell>
          <cell r="C233">
            <v>285.70130690000002</v>
          </cell>
          <cell r="D233">
            <v>9</v>
          </cell>
          <cell r="E233">
            <v>5167120.26</v>
          </cell>
          <cell r="F233">
            <v>315</v>
          </cell>
          <cell r="G233">
            <v>4218185.8400000017</v>
          </cell>
          <cell r="H233">
            <v>-1015960.0000000001</v>
          </cell>
        </row>
        <row r="234">
          <cell r="A234" t="str">
            <v>VanEck</v>
          </cell>
          <cell r="B234">
            <v>1824566579.4199998</v>
          </cell>
          <cell r="C234">
            <v>1824.5665794199999</v>
          </cell>
          <cell r="D234">
            <v>16</v>
          </cell>
          <cell r="E234">
            <v>117986084.38</v>
          </cell>
          <cell r="F234">
            <v>4298</v>
          </cell>
          <cell r="G234">
            <v>81721762.590000004</v>
          </cell>
          <cell r="H234">
            <v>46003730.359999999</v>
          </cell>
        </row>
        <row r="235">
          <cell r="A235" t="str">
            <v>Vanguard</v>
          </cell>
          <cell r="B235">
            <v>11220181586.470001</v>
          </cell>
          <cell r="C235">
            <v>11220.181586470002</v>
          </cell>
          <cell r="D235">
            <v>24</v>
          </cell>
          <cell r="E235">
            <v>646206110.24319983</v>
          </cell>
          <cell r="F235">
            <v>27938</v>
          </cell>
          <cell r="G235">
            <v>329499606.62000024</v>
          </cell>
          <cell r="H235">
            <v>207812762.47999975</v>
          </cell>
        </row>
        <row r="236">
          <cell r="A236" t="str">
            <v>XTB</v>
          </cell>
          <cell r="B236">
            <v>295791531.39999998</v>
          </cell>
          <cell r="C236">
            <v>295.7915314</v>
          </cell>
          <cell r="D236">
            <v>49</v>
          </cell>
          <cell r="E236">
            <v>23159753.84</v>
          </cell>
          <cell r="F236">
            <v>671</v>
          </cell>
          <cell r="G236">
            <v>11879806.6</v>
          </cell>
          <cell r="H236">
            <v>11392955</v>
          </cell>
          <cell r="I236" t="str">
            <v>*CAUTION: incl. MFSA</v>
          </cell>
        </row>
        <row r="237">
          <cell r="D237">
            <v>228</v>
          </cell>
          <cell r="E237">
            <v>2650878171.7195997</v>
          </cell>
          <cell r="F237">
            <v>96240</v>
          </cell>
          <cell r="G237">
            <v>849258673.96500063</v>
          </cell>
          <cell r="H237">
            <v>522329991.10499954</v>
          </cell>
        </row>
        <row r="239">
          <cell r="A239" t="str">
            <v>Issuer Breakdown</v>
          </cell>
        </row>
        <row r="241">
          <cell r="B241" t="str">
            <v>Number of Products on Issue</v>
          </cell>
          <cell r="C241" t="str">
            <v>FUM by Issuer</v>
          </cell>
          <cell r="D241" t="str">
            <v>Value Transacted</v>
          </cell>
          <cell r="E241" t="str">
            <v>Number of Trades</v>
          </cell>
        </row>
        <row r="243">
          <cell r="A243" t="str">
            <v>iShares</v>
          </cell>
          <cell r="B243">
            <v>34</v>
          </cell>
          <cell r="C243">
            <v>10853093948.310001</v>
          </cell>
          <cell r="D243">
            <v>574549337.0596</v>
          </cell>
          <cell r="E243">
            <v>21682</v>
          </cell>
          <cell r="F243">
            <v>172159877.59000021</v>
          </cell>
          <cell r="G243">
            <v>91317205.379999995</v>
          </cell>
        </row>
        <row r="244">
          <cell r="A244" t="str">
            <v>StateStreet</v>
          </cell>
          <cell r="B244">
            <v>16</v>
          </cell>
          <cell r="C244">
            <v>5938092392.6300001</v>
          </cell>
          <cell r="D244">
            <v>339949277.46939999</v>
          </cell>
          <cell r="E244">
            <v>9810</v>
          </cell>
          <cell r="F244">
            <v>80933837.930000424</v>
          </cell>
          <cell r="G244">
            <v>-5526633.1400000043</v>
          </cell>
        </row>
        <row r="245">
          <cell r="A245" t="str">
            <v>Vanguard</v>
          </cell>
          <cell r="B245">
            <v>24</v>
          </cell>
          <cell r="C245">
            <v>11220181586.470001</v>
          </cell>
          <cell r="D245">
            <v>646206110.24319983</v>
          </cell>
          <cell r="E245">
            <v>27938</v>
          </cell>
          <cell r="F245">
            <v>329499606.62000024</v>
          </cell>
          <cell r="G245">
            <v>207812762.47999975</v>
          </cell>
        </row>
        <row r="246">
          <cell r="A246" t="str">
            <v>BetaShares</v>
          </cell>
          <cell r="B246">
            <v>41</v>
          </cell>
          <cell r="C246">
            <v>4945559028.170001</v>
          </cell>
          <cell r="D246">
            <v>722365766.01760006</v>
          </cell>
          <cell r="E246">
            <v>19365</v>
          </cell>
          <cell r="F246">
            <v>142774271.6399999</v>
          </cell>
          <cell r="G246">
            <v>79141504.74999994</v>
          </cell>
        </row>
        <row r="247">
          <cell r="A247" t="str">
            <v>Russell Investments</v>
          </cell>
          <cell r="B247">
            <v>5</v>
          </cell>
          <cell r="C247">
            <v>639436237.42000008</v>
          </cell>
          <cell r="D247">
            <v>24296669.739800006</v>
          </cell>
          <cell r="E247">
            <v>1005</v>
          </cell>
          <cell r="F247">
            <v>-2532599.0099999905</v>
          </cell>
          <cell r="G247">
            <v>-2483250.000000007</v>
          </cell>
        </row>
        <row r="248">
          <cell r="A248" t="str">
            <v>ETFS</v>
          </cell>
          <cell r="B248">
            <v>15</v>
          </cell>
          <cell r="C248">
            <v>1044956113.49</v>
          </cell>
          <cell r="D248">
            <v>81677557.995000035</v>
          </cell>
          <cell r="E248">
            <v>6460</v>
          </cell>
          <cell r="F248">
            <v>5580501.9699999616</v>
          </cell>
          <cell r="G248">
            <v>19285646.659999851</v>
          </cell>
        </row>
        <row r="249">
          <cell r="A249" t="str">
            <v>UBS</v>
          </cell>
          <cell r="B249">
            <v>9</v>
          </cell>
          <cell r="C249">
            <v>285701306.90000004</v>
          </cell>
          <cell r="D249">
            <v>5167120.26</v>
          </cell>
          <cell r="E249">
            <v>315</v>
          </cell>
          <cell r="F249">
            <v>4218185.8400000017</v>
          </cell>
          <cell r="G249">
            <v>-1015960.0000000001</v>
          </cell>
        </row>
        <row r="250">
          <cell r="A250" t="str">
            <v>VanEck</v>
          </cell>
          <cell r="B250">
            <v>16</v>
          </cell>
          <cell r="C250">
            <v>1824566579.4199998</v>
          </cell>
          <cell r="D250">
            <v>117986084.38</v>
          </cell>
          <cell r="E250">
            <v>4298</v>
          </cell>
          <cell r="F250">
            <v>81721762.590000004</v>
          </cell>
          <cell r="G250">
            <v>46003730.359999999</v>
          </cell>
        </row>
        <row r="251">
          <cell r="A251" t="str">
            <v>XTB</v>
          </cell>
          <cell r="B251">
            <v>49</v>
          </cell>
          <cell r="C251">
            <v>295791531.39999998</v>
          </cell>
          <cell r="D251">
            <v>23159753.84</v>
          </cell>
          <cell r="E251">
            <v>671</v>
          </cell>
          <cell r="F251">
            <v>11879806.6</v>
          </cell>
          <cell r="G251">
            <v>11392955</v>
          </cell>
        </row>
        <row r="252">
          <cell r="A252" t="str">
            <v>Magellan</v>
          </cell>
          <cell r="B252">
            <v>3</v>
          </cell>
          <cell r="C252">
            <v>1297750123.8</v>
          </cell>
          <cell r="D252">
            <v>50547442.050000004</v>
          </cell>
          <cell r="E252">
            <v>2017</v>
          </cell>
          <cell r="F252">
            <v>9050158.9199998975</v>
          </cell>
          <cell r="G252">
            <v>11690674.440000009</v>
          </cell>
        </row>
        <row r="253">
          <cell r="A253" t="str">
            <v>Other</v>
          </cell>
          <cell r="B253">
            <v>15</v>
          </cell>
          <cell r="C253">
            <v>741028506.54500008</v>
          </cell>
          <cell r="D253">
            <v>60405188.925000004</v>
          </cell>
          <cell r="E253">
            <v>2450</v>
          </cell>
          <cell r="F253">
            <v>11487599.974999979</v>
          </cell>
          <cell r="G253">
            <v>61559814.695</v>
          </cell>
        </row>
        <row r="254">
          <cell r="A254" t="str">
            <v>Aurora</v>
          </cell>
          <cell r="B254">
            <v>1</v>
          </cell>
          <cell r="C254">
            <v>6929291.6449999996</v>
          </cell>
          <cell r="D254">
            <v>74451.395000000004</v>
          </cell>
          <cell r="E254">
            <v>15</v>
          </cell>
          <cell r="F254">
            <v>-360823.28500000015</v>
          </cell>
          <cell r="G254">
            <v>6745.5349999999989</v>
          </cell>
        </row>
        <row r="255">
          <cell r="A255" t="str">
            <v>AMP Capital / BetaShares</v>
          </cell>
          <cell r="B255">
            <v>3</v>
          </cell>
          <cell r="C255">
            <v>67343000.879999995</v>
          </cell>
          <cell r="D255">
            <v>1942143.9999999998</v>
          </cell>
          <cell r="E255">
            <v>89</v>
          </cell>
          <cell r="F255">
            <v>1343153.5599999949</v>
          </cell>
          <cell r="G255">
            <v>278477.65999999997</v>
          </cell>
        </row>
        <row r="256">
          <cell r="A256" t="str">
            <v>InvestSMART</v>
          </cell>
          <cell r="B256">
            <v>1</v>
          </cell>
          <cell r="C256">
            <v>34254256.68</v>
          </cell>
          <cell r="D256">
            <v>3769546.88</v>
          </cell>
          <cell r="E256">
            <v>210</v>
          </cell>
          <cell r="F256">
            <v>34254256.68</v>
          </cell>
          <cell r="G256">
            <v>34254256.68</v>
          </cell>
        </row>
        <row r="257">
          <cell r="A257" t="str">
            <v>K2</v>
          </cell>
          <cell r="B257">
            <v>2</v>
          </cell>
          <cell r="C257">
            <v>31127661.84</v>
          </cell>
          <cell r="D257">
            <v>2497660.3099999996</v>
          </cell>
          <cell r="E257">
            <v>39</v>
          </cell>
          <cell r="F257">
            <v>-217207.56999999844</v>
          </cell>
          <cell r="G257">
            <v>757165.94</v>
          </cell>
        </row>
        <row r="258">
          <cell r="A258" t="str">
            <v>Legg Mason / BetaShares</v>
          </cell>
          <cell r="B258">
            <v>2</v>
          </cell>
          <cell r="C258">
            <v>23364763.669999998</v>
          </cell>
          <cell r="D258">
            <v>3650556.13</v>
          </cell>
          <cell r="E258">
            <v>81</v>
          </cell>
          <cell r="F258">
            <v>3615945.3099999968</v>
          </cell>
          <cell r="G258">
            <v>3135426.9899999998</v>
          </cell>
        </row>
        <row r="259">
          <cell r="A259" t="str">
            <v>Schroder</v>
          </cell>
          <cell r="B259">
            <v>1</v>
          </cell>
          <cell r="C259">
            <v>47150790.900000006</v>
          </cell>
          <cell r="D259">
            <v>1993550.86</v>
          </cell>
          <cell r="E259">
            <v>60</v>
          </cell>
          <cell r="F259">
            <v>405779.86000000685</v>
          </cell>
          <cell r="G259">
            <v>-364742.29999999312</v>
          </cell>
        </row>
        <row r="260">
          <cell r="A260" t="str">
            <v>Switzer</v>
          </cell>
          <cell r="B260">
            <v>1</v>
          </cell>
          <cell r="C260">
            <v>77484817.960000008</v>
          </cell>
          <cell r="D260">
            <v>4256797.1000000006</v>
          </cell>
          <cell r="E260">
            <v>184</v>
          </cell>
          <cell r="F260">
            <v>475574.88000001013</v>
          </cell>
          <cell r="G260">
            <v>-2263884.3599999906</v>
          </cell>
        </row>
        <row r="261">
          <cell r="A261" t="str">
            <v>Perennial</v>
          </cell>
          <cell r="B261">
            <v>1</v>
          </cell>
          <cell r="C261">
            <v>17739791.370000001</v>
          </cell>
          <cell r="D261">
            <v>1238231.73</v>
          </cell>
          <cell r="E261">
            <v>36</v>
          </cell>
          <cell r="F261">
            <v>936251.26999999955</v>
          </cell>
          <cell r="G261">
            <v>302952.02</v>
          </cell>
        </row>
        <row r="262">
          <cell r="A262" t="str">
            <v>Platinum</v>
          </cell>
          <cell r="B262">
            <v>2</v>
          </cell>
          <cell r="C262">
            <v>303091894.64999998</v>
          </cell>
          <cell r="D262">
            <v>37429889.280000001</v>
          </cell>
          <cell r="E262">
            <v>1525</v>
          </cell>
          <cell r="F262">
            <v>-27249990.88000001</v>
          </cell>
          <cell r="G262">
            <v>25371361.579999998</v>
          </cell>
        </row>
        <row r="263">
          <cell r="A263" t="str">
            <v>The Perth Mint</v>
          </cell>
          <cell r="B263">
            <v>1</v>
          </cell>
          <cell r="C263">
            <v>132542236.94999999</v>
          </cell>
          <cell r="D263">
            <v>3552361.2400000007</v>
          </cell>
          <cell r="E263">
            <v>211</v>
          </cell>
          <cell r="F263">
            <v>-1715339.8500000238</v>
          </cell>
          <cell r="G263">
            <v>82054.949999984208</v>
          </cell>
        </row>
        <row r="268">
          <cell r="A268" t="str">
            <v>Top 5 by Value</v>
          </cell>
        </row>
        <row r="269">
          <cell r="A269" t="str">
            <v>SSO</v>
          </cell>
          <cell r="B269">
            <v>259.18220748439995</v>
          </cell>
          <cell r="C269">
            <v>259182207.48439997</v>
          </cell>
          <cell r="D269" t="str">
            <v>SPDR S&amp;P/ASX Small Ordinaries Fund</v>
          </cell>
          <cell r="E269" t="str">
            <v>SSO - SPDR S&amp;P/ASX Small Ordinaries Fund</v>
          </cell>
        </row>
        <row r="270">
          <cell r="A270" t="str">
            <v>A200</v>
          </cell>
          <cell r="B270">
            <v>240.56370822999995</v>
          </cell>
          <cell r="C270">
            <v>240563708.22999996</v>
          </cell>
          <cell r="D270" t="str">
            <v>Betashares Australia 200 ETF</v>
          </cell>
          <cell r="E270" t="str">
            <v>A200 - Betashares Australia 200 ETF</v>
          </cell>
        </row>
        <row r="271">
          <cell r="A271" t="str">
            <v>VAP</v>
          </cell>
          <cell r="B271">
            <v>166.358637595</v>
          </cell>
          <cell r="C271">
            <v>166358637.595</v>
          </cell>
          <cell r="D271" t="str">
            <v>Vanguard Australian Property Securities Index ETF</v>
          </cell>
          <cell r="E271" t="str">
            <v>VAP - Vanguard Australian Property Securities Index ETF</v>
          </cell>
        </row>
        <row r="272">
          <cell r="A272" t="str">
            <v>IVE</v>
          </cell>
          <cell r="B272">
            <v>94.371426999999983</v>
          </cell>
          <cell r="C272">
            <v>94371426.999999985</v>
          </cell>
          <cell r="D272" t="str">
            <v>iShares MSCI EAFE ETF</v>
          </cell>
          <cell r="E272" t="str">
            <v>IVE - iShares MSCI EAFE ETF</v>
          </cell>
        </row>
        <row r="273">
          <cell r="A273" t="str">
            <v>VGE</v>
          </cell>
          <cell r="B273">
            <v>73.935460390000017</v>
          </cell>
          <cell r="C273">
            <v>73935460.390000015</v>
          </cell>
          <cell r="D273" t="str">
            <v>Vanguard FTSE Emerging Markets Shares ETF</v>
          </cell>
          <cell r="E273" t="str">
            <v>VGE - Vanguard FTSE Emerging Markets Shares ETF</v>
          </cell>
        </row>
      </sheetData>
      <sheetData sheetId="28">
        <row r="2">
          <cell r="A2" t="str">
            <v>YTMAGL</v>
          </cell>
          <cell r="B2" t="str">
            <v>XTB AGL 5.00% Nov-21</v>
          </cell>
          <cell r="C2" t="str">
            <v>Fixed Income - Australia</v>
          </cell>
          <cell r="E2" t="str">
            <v>YTMAGL</v>
          </cell>
          <cell r="F2" t="str">
            <v>n/a</v>
          </cell>
          <cell r="G2">
            <v>42514</v>
          </cell>
          <cell r="H2">
            <v>12510448</v>
          </cell>
          <cell r="I2">
            <v>962024.37</v>
          </cell>
          <cell r="J2" t="str">
            <v>ACBC</v>
          </cell>
          <cell r="K2">
            <v>19</v>
          </cell>
          <cell r="L2">
            <v>11653566</v>
          </cell>
          <cell r="M2">
            <v>11653566</v>
          </cell>
          <cell r="N2">
            <v>856882</v>
          </cell>
          <cell r="O2">
            <v>107.11</v>
          </cell>
          <cell r="P2">
            <v>116800</v>
          </cell>
          <cell r="Q2">
            <v>109300</v>
          </cell>
          <cell r="R2">
            <v>803325</v>
          </cell>
        </row>
        <row r="3">
          <cell r="A3" t="str">
            <v>YTMAST</v>
          </cell>
          <cell r="B3" t="str">
            <v>XTB AST 5.75% Jun-22</v>
          </cell>
          <cell r="C3" t="str">
            <v>Fixed Income - Australia</v>
          </cell>
          <cell r="E3" t="str">
            <v>YTMAST</v>
          </cell>
          <cell r="F3" t="str">
            <v>n/a</v>
          </cell>
          <cell r="G3">
            <v>42514</v>
          </cell>
          <cell r="H3">
            <v>5290314</v>
          </cell>
          <cell r="I3">
            <v>1002556.14</v>
          </cell>
          <cell r="J3" t="str">
            <v>ACBC</v>
          </cell>
          <cell r="K3">
            <v>20</v>
          </cell>
          <cell r="L3">
            <v>4825968</v>
          </cell>
          <cell r="M3">
            <v>4825968</v>
          </cell>
          <cell r="N3">
            <v>464346</v>
          </cell>
          <cell r="O3">
            <v>111.61</v>
          </cell>
          <cell r="P3">
            <v>47400</v>
          </cell>
          <cell r="Q3">
            <v>42400</v>
          </cell>
          <cell r="R3">
            <v>558050</v>
          </cell>
        </row>
        <row r="4">
          <cell r="A4" t="str">
            <v>YTMAWC</v>
          </cell>
          <cell r="B4" t="str">
            <v>XTB AWC 6.75% Nov-19</v>
          </cell>
          <cell r="C4" t="str">
            <v>Fixed Income - Australia</v>
          </cell>
          <cell r="E4" t="str">
            <v>YTMAWC</v>
          </cell>
          <cell r="F4" t="str">
            <v>n/a</v>
          </cell>
          <cell r="G4">
            <v>42514</v>
          </cell>
          <cell r="H4">
            <v>17874162</v>
          </cell>
          <cell r="I4">
            <v>675860.23</v>
          </cell>
          <cell r="J4" t="str">
            <v>ACBC</v>
          </cell>
          <cell r="K4">
            <v>26</v>
          </cell>
          <cell r="L4">
            <v>17782313</v>
          </cell>
          <cell r="M4">
            <v>17782313</v>
          </cell>
          <cell r="N4">
            <v>91849</v>
          </cell>
          <cell r="O4">
            <v>103.14</v>
          </cell>
          <cell r="P4">
            <v>173300</v>
          </cell>
          <cell r="Q4">
            <v>173300</v>
          </cell>
          <cell r="R4">
            <v>0</v>
          </cell>
        </row>
        <row r="5">
          <cell r="A5" t="str">
            <v>YTMAZJ</v>
          </cell>
          <cell r="B5" t="str">
            <v>XTB AZJ 5.75% Oct-20</v>
          </cell>
          <cell r="C5" t="str">
            <v>Fixed Income - Australia</v>
          </cell>
          <cell r="E5" t="str">
            <v>YTMAZJ</v>
          </cell>
          <cell r="F5" t="str">
            <v>n/a</v>
          </cell>
          <cell r="G5">
            <v>42138</v>
          </cell>
          <cell r="H5">
            <v>24163961</v>
          </cell>
          <cell r="I5">
            <v>503927.3000000001</v>
          </cell>
          <cell r="J5" t="str">
            <v>ACBC</v>
          </cell>
          <cell r="K5">
            <v>26</v>
          </cell>
          <cell r="L5">
            <v>24242046</v>
          </cell>
          <cell r="M5">
            <v>24242046</v>
          </cell>
          <cell r="N5">
            <v>-78085</v>
          </cell>
          <cell r="O5">
            <v>108.31</v>
          </cell>
          <cell r="P5">
            <v>223100</v>
          </cell>
          <cell r="Q5">
            <v>223100</v>
          </cell>
          <cell r="R5">
            <v>0</v>
          </cell>
        </row>
        <row r="6">
          <cell r="A6" t="str">
            <v>YTMBH1</v>
          </cell>
          <cell r="B6" t="str">
            <v>XTB BH1 3.00% Mar-20</v>
          </cell>
          <cell r="C6" t="str">
            <v>Fixed Income - Australia</v>
          </cell>
          <cell r="E6" t="str">
            <v>YTMBH1</v>
          </cell>
          <cell r="F6" t="str">
            <v>n/a</v>
          </cell>
          <cell r="G6">
            <v>42514</v>
          </cell>
          <cell r="H6">
            <v>1533300</v>
          </cell>
          <cell r="I6">
            <v>37737.600000000006</v>
          </cell>
          <cell r="J6" t="str">
            <v>ACBC</v>
          </cell>
          <cell r="K6">
            <v>6</v>
          </cell>
          <cell r="L6">
            <v>1530600</v>
          </cell>
          <cell r="M6">
            <v>1530600</v>
          </cell>
          <cell r="N6">
            <v>2700</v>
          </cell>
          <cell r="O6">
            <v>102.22</v>
          </cell>
          <cell r="P6">
            <v>15000</v>
          </cell>
          <cell r="Q6">
            <v>14999.999999999998</v>
          </cell>
          <cell r="R6">
            <v>1.8593709683045745E-10</v>
          </cell>
        </row>
        <row r="7">
          <cell r="A7" t="str">
            <v>YTMDOW</v>
          </cell>
          <cell r="B7" t="str">
            <v>XTB DOW 5.75% Nov-18</v>
          </cell>
          <cell r="C7" t="str">
            <v>Fixed Income - Australia</v>
          </cell>
          <cell r="E7" t="str">
            <v>YTMDOW</v>
          </cell>
          <cell r="F7" t="str">
            <v>n/a</v>
          </cell>
          <cell r="G7">
            <v>42514</v>
          </cell>
          <cell r="H7">
            <v>2584425</v>
          </cell>
          <cell r="I7">
            <v>0</v>
          </cell>
          <cell r="J7" t="str">
            <v>ACBC</v>
          </cell>
          <cell r="K7">
            <v>0</v>
          </cell>
          <cell r="L7">
            <v>2584425</v>
          </cell>
          <cell r="M7">
            <v>2584425</v>
          </cell>
          <cell r="N7">
            <v>0</v>
          </cell>
          <cell r="O7">
            <v>101.35</v>
          </cell>
          <cell r="P7">
            <v>25500</v>
          </cell>
          <cell r="Q7">
            <v>25500</v>
          </cell>
          <cell r="R7">
            <v>0</v>
          </cell>
        </row>
        <row r="8">
          <cell r="A8" t="str">
            <v>YTMDO1</v>
          </cell>
          <cell r="B8" t="str">
            <v>XTB DO1 4.50% Mar-22</v>
          </cell>
          <cell r="C8" t="str">
            <v>Fixed Income - Australia</v>
          </cell>
          <cell r="E8" t="str">
            <v>YTMDO1</v>
          </cell>
          <cell r="F8" t="str">
            <v>n/a</v>
          </cell>
          <cell r="G8">
            <v>42514</v>
          </cell>
          <cell r="H8">
            <v>24653904</v>
          </cell>
          <cell r="I8">
            <v>1362166.4599999997</v>
          </cell>
          <cell r="J8" t="str">
            <v>ACBC</v>
          </cell>
          <cell r="K8">
            <v>48</v>
          </cell>
          <cell r="L8">
            <v>23529744</v>
          </cell>
          <cell r="M8">
            <v>23529744</v>
          </cell>
          <cell r="N8">
            <v>1124160</v>
          </cell>
          <cell r="O8">
            <v>105.72</v>
          </cell>
          <cell r="P8">
            <v>233200</v>
          </cell>
          <cell r="Q8">
            <v>223200</v>
          </cell>
          <cell r="R8">
            <v>1057200</v>
          </cell>
        </row>
        <row r="9">
          <cell r="A9" t="str">
            <v>YTMDXS</v>
          </cell>
          <cell r="B9" t="str">
            <v>XTB DXS 5.75% Sep-18</v>
          </cell>
          <cell r="C9" t="str">
            <v>Fixed Income - Australia</v>
          </cell>
          <cell r="E9" t="str">
            <v>YTMDXS</v>
          </cell>
          <cell r="F9" t="str">
            <v>n/a</v>
          </cell>
          <cell r="G9">
            <v>42138</v>
          </cell>
          <cell r="H9">
            <v>770700</v>
          </cell>
          <cell r="I9">
            <v>9339.5400000000009</v>
          </cell>
          <cell r="J9" t="str">
            <v>ACBC</v>
          </cell>
          <cell r="K9">
            <v>2</v>
          </cell>
          <cell r="L9">
            <v>769575</v>
          </cell>
          <cell r="M9">
            <v>769575</v>
          </cell>
          <cell r="N9">
            <v>1125</v>
          </cell>
          <cell r="O9">
            <v>102.76</v>
          </cell>
          <cell r="P9">
            <v>7500</v>
          </cell>
          <cell r="Q9">
            <v>7500</v>
          </cell>
          <cell r="R9">
            <v>0</v>
          </cell>
        </row>
        <row r="10">
          <cell r="A10" t="str">
            <v>YTMDX1</v>
          </cell>
          <cell r="B10" t="str">
            <v>XTB DX1 4.75% Nov-25</v>
          </cell>
          <cell r="C10" t="str">
            <v>Fixed Income - Australia</v>
          </cell>
          <cell r="E10" t="str">
            <v>YTMDX1</v>
          </cell>
          <cell r="F10" t="str">
            <v>n/a</v>
          </cell>
          <cell r="G10">
            <v>42913</v>
          </cell>
          <cell r="H10">
            <v>6320260</v>
          </cell>
          <cell r="I10">
            <v>574436.83000000007</v>
          </cell>
          <cell r="J10" t="str">
            <v>ACBC</v>
          </cell>
          <cell r="K10">
            <v>27</v>
          </cell>
          <cell r="L10">
            <v>5751030</v>
          </cell>
          <cell r="M10">
            <v>5751030</v>
          </cell>
          <cell r="N10">
            <v>569230</v>
          </cell>
          <cell r="O10">
            <v>108.97</v>
          </cell>
          <cell r="P10">
            <v>58000</v>
          </cell>
          <cell r="Q10">
            <v>53000</v>
          </cell>
          <cell r="R10">
            <v>544850</v>
          </cell>
        </row>
        <row r="11">
          <cell r="A11" t="str">
            <v>YTMGPT</v>
          </cell>
          <cell r="B11" t="str">
            <v>XTB GPT 6.75% Jan-19</v>
          </cell>
          <cell r="C11" t="str">
            <v>Fixed Income - Australia</v>
          </cell>
          <cell r="E11" t="str">
            <v>YTMGPT</v>
          </cell>
          <cell r="F11" t="str">
            <v>n/a</v>
          </cell>
          <cell r="G11">
            <v>42138</v>
          </cell>
          <cell r="H11">
            <v>530100</v>
          </cell>
          <cell r="I11">
            <v>1589.25</v>
          </cell>
          <cell r="J11" t="str">
            <v>ACBC</v>
          </cell>
          <cell r="K11">
            <v>1</v>
          </cell>
          <cell r="L11">
            <v>529350</v>
          </cell>
          <cell r="M11">
            <v>529350</v>
          </cell>
          <cell r="N11">
            <v>750</v>
          </cell>
          <cell r="O11">
            <v>106.02</v>
          </cell>
          <cell r="P11">
            <v>5000</v>
          </cell>
          <cell r="Q11">
            <v>5000</v>
          </cell>
          <cell r="R11">
            <v>0</v>
          </cell>
        </row>
        <row r="12">
          <cell r="A12" t="str">
            <v>YTMIPL</v>
          </cell>
          <cell r="B12" t="str">
            <v>XTB IPL 5.75% Feb-19</v>
          </cell>
          <cell r="C12" t="str">
            <v>Fixed Income - Australia</v>
          </cell>
          <cell r="E12" t="str">
            <v>YTMIPL</v>
          </cell>
          <cell r="F12" t="str">
            <v>n/a</v>
          </cell>
          <cell r="G12">
            <v>42138</v>
          </cell>
          <cell r="H12">
            <v>3251280</v>
          </cell>
          <cell r="I12">
            <v>41387.53</v>
          </cell>
          <cell r="J12" t="str">
            <v>ACBC</v>
          </cell>
          <cell r="K12">
            <v>4</v>
          </cell>
          <cell r="L12">
            <v>3238570</v>
          </cell>
          <cell r="M12">
            <v>3238570</v>
          </cell>
          <cell r="N12">
            <v>12710</v>
          </cell>
          <cell r="O12">
            <v>104.88</v>
          </cell>
          <cell r="P12">
            <v>31000</v>
          </cell>
          <cell r="Q12">
            <v>31000</v>
          </cell>
          <cell r="R12">
            <v>0</v>
          </cell>
        </row>
        <row r="13">
          <cell r="A13" t="str">
            <v>YTMLLC</v>
          </cell>
          <cell r="B13" t="str">
            <v>XTB LLC 5.50% Nov-18</v>
          </cell>
          <cell r="C13" t="str">
            <v>Fixed Income - Australia</v>
          </cell>
          <cell r="E13" t="str">
            <v>YTMLLC</v>
          </cell>
          <cell r="F13" t="str">
            <v>n/a</v>
          </cell>
          <cell r="G13">
            <v>42138</v>
          </cell>
          <cell r="H13">
            <v>6163216</v>
          </cell>
          <cell r="I13">
            <v>426910.41</v>
          </cell>
          <cell r="J13" t="str">
            <v>ACBC</v>
          </cell>
          <cell r="K13">
            <v>17</v>
          </cell>
          <cell r="L13">
            <v>6160800</v>
          </cell>
          <cell r="M13">
            <v>6160800</v>
          </cell>
          <cell r="N13">
            <v>2416</v>
          </cell>
          <cell r="O13">
            <v>102.04</v>
          </cell>
          <cell r="P13">
            <v>60399.999999999993</v>
          </cell>
          <cell r="Q13">
            <v>60400</v>
          </cell>
          <cell r="R13">
            <v>-7.4243871495127682E-10</v>
          </cell>
        </row>
        <row r="14">
          <cell r="A14" t="str">
            <v>YTMLL1</v>
          </cell>
          <cell r="B14" t="str">
            <v>XTB LL1 6.00% May-20</v>
          </cell>
          <cell r="C14" t="str">
            <v>Fixed Income - Australia</v>
          </cell>
          <cell r="E14" t="str">
            <v>YTMLL1</v>
          </cell>
          <cell r="F14" t="str">
            <v>n/a</v>
          </cell>
          <cell r="G14">
            <v>42138</v>
          </cell>
          <cell r="H14">
            <v>19588954</v>
          </cell>
          <cell r="I14">
            <v>435964.63</v>
          </cell>
          <cell r="J14" t="str">
            <v>ACBC</v>
          </cell>
          <cell r="K14">
            <v>48</v>
          </cell>
          <cell r="L14">
            <v>19660480</v>
          </cell>
          <cell r="M14">
            <v>19660480</v>
          </cell>
          <cell r="N14">
            <v>-71526</v>
          </cell>
          <cell r="O14">
            <v>106.81</v>
          </cell>
          <cell r="P14">
            <v>183400</v>
          </cell>
          <cell r="Q14">
            <v>183400</v>
          </cell>
          <cell r="R14">
            <v>0</v>
          </cell>
        </row>
        <row r="15">
          <cell r="A15" t="str">
            <v>YTMMGR</v>
          </cell>
          <cell r="B15" t="str">
            <v>XTB MGR 5.75% Sep-20</v>
          </cell>
          <cell r="C15" t="str">
            <v>Fixed Income - Australia</v>
          </cell>
          <cell r="E15" t="str">
            <v>YTMMGR</v>
          </cell>
          <cell r="F15" t="str">
            <v>n/a</v>
          </cell>
          <cell r="G15">
            <v>42138</v>
          </cell>
          <cell r="H15">
            <v>7845840</v>
          </cell>
          <cell r="I15">
            <v>92398.13</v>
          </cell>
          <cell r="J15" t="str">
            <v>ACBC</v>
          </cell>
          <cell r="K15">
            <v>5</v>
          </cell>
          <cell r="L15">
            <v>7814880</v>
          </cell>
          <cell r="M15">
            <v>7814880</v>
          </cell>
          <cell r="N15">
            <v>30960</v>
          </cell>
          <cell r="O15">
            <v>108.97</v>
          </cell>
          <cell r="P15">
            <v>72000</v>
          </cell>
          <cell r="Q15">
            <v>72000</v>
          </cell>
          <cell r="R15">
            <v>0</v>
          </cell>
        </row>
        <row r="16">
          <cell r="A16" t="str">
            <v>YTMNVN</v>
          </cell>
          <cell r="B16" t="str">
            <v>XTB NVN 5.00% Dec-19</v>
          </cell>
          <cell r="C16" t="str">
            <v>Fixed Income - Australia</v>
          </cell>
          <cell r="E16" t="str">
            <v>YTMNVN</v>
          </cell>
          <cell r="F16" t="str">
            <v>n/a</v>
          </cell>
          <cell r="G16">
            <v>42138</v>
          </cell>
          <cell r="H16">
            <v>0</v>
          </cell>
          <cell r="I16">
            <v>1310659.3900000001</v>
          </cell>
          <cell r="J16" t="str">
            <v>ACBC</v>
          </cell>
          <cell r="K16">
            <v>31</v>
          </cell>
          <cell r="L16">
            <v>0</v>
          </cell>
          <cell r="M16">
            <v>0</v>
          </cell>
          <cell r="N16">
            <v>0</v>
          </cell>
          <cell r="O16">
            <v>0</v>
          </cell>
          <cell r="P16">
            <v>0</v>
          </cell>
          <cell r="Q16">
            <v>0</v>
          </cell>
          <cell r="R16">
            <v>0</v>
          </cell>
        </row>
        <row r="17">
          <cell r="A17" t="str">
            <v>YTMSCG</v>
          </cell>
          <cell r="B17" t="str">
            <v>XTB SCG 5.00% Oct-19</v>
          </cell>
          <cell r="C17" t="str">
            <v>Fixed Income - Australia</v>
          </cell>
          <cell r="E17" t="str">
            <v>YTMSCG</v>
          </cell>
          <cell r="F17" t="str">
            <v>n/a</v>
          </cell>
          <cell r="G17">
            <v>42138</v>
          </cell>
          <cell r="H17">
            <v>4382700</v>
          </cell>
          <cell r="I17">
            <v>145357.25</v>
          </cell>
          <cell r="J17" t="str">
            <v>ACBC</v>
          </cell>
          <cell r="K17">
            <v>16</v>
          </cell>
          <cell r="L17">
            <v>4362120</v>
          </cell>
          <cell r="M17">
            <v>4362120</v>
          </cell>
          <cell r="N17">
            <v>20580</v>
          </cell>
          <cell r="O17">
            <v>104.35</v>
          </cell>
          <cell r="P17">
            <v>42000</v>
          </cell>
          <cell r="Q17">
            <v>42000</v>
          </cell>
          <cell r="R17">
            <v>0</v>
          </cell>
        </row>
        <row r="18">
          <cell r="A18" t="str">
            <v>YTMSGP</v>
          </cell>
          <cell r="B18" t="str">
            <v>XTB SGP 5.50% Sep-19</v>
          </cell>
          <cell r="C18" t="str">
            <v>Fixed Income - Australia</v>
          </cell>
          <cell r="E18" t="str">
            <v>YTMSGP</v>
          </cell>
          <cell r="F18" t="str">
            <v>n/a</v>
          </cell>
          <cell r="G18">
            <v>42138</v>
          </cell>
          <cell r="H18">
            <v>1584600</v>
          </cell>
          <cell r="I18">
            <v>2004.88</v>
          </cell>
          <cell r="J18" t="str">
            <v>ACBC</v>
          </cell>
          <cell r="K18">
            <v>1</v>
          </cell>
          <cell r="L18">
            <v>1583100</v>
          </cell>
          <cell r="M18">
            <v>1583100</v>
          </cell>
          <cell r="N18">
            <v>1500</v>
          </cell>
          <cell r="O18">
            <v>105.64</v>
          </cell>
          <cell r="P18">
            <v>15000</v>
          </cell>
          <cell r="Q18">
            <v>15000</v>
          </cell>
          <cell r="R18">
            <v>0</v>
          </cell>
        </row>
        <row r="19">
          <cell r="A19" t="str">
            <v>YTMSG1</v>
          </cell>
          <cell r="B19" t="str">
            <v>XTB SG1 8.25% Nov-20</v>
          </cell>
          <cell r="C19" t="str">
            <v>Fixed Income - Australia</v>
          </cell>
          <cell r="E19" t="str">
            <v>YTMSG1</v>
          </cell>
          <cell r="F19" t="str">
            <v>n/a</v>
          </cell>
          <cell r="G19">
            <v>42138</v>
          </cell>
          <cell r="H19">
            <v>4584400</v>
          </cell>
          <cell r="I19">
            <v>253545.31</v>
          </cell>
          <cell r="J19" t="str">
            <v>ACBC</v>
          </cell>
          <cell r="K19">
            <v>8</v>
          </cell>
          <cell r="L19">
            <v>4575600</v>
          </cell>
          <cell r="M19">
            <v>4575600</v>
          </cell>
          <cell r="N19">
            <v>8800</v>
          </cell>
          <cell r="O19">
            <v>114.61</v>
          </cell>
          <cell r="P19">
            <v>40000</v>
          </cell>
          <cell r="Q19">
            <v>40000</v>
          </cell>
          <cell r="R19">
            <v>0</v>
          </cell>
        </row>
        <row r="20">
          <cell r="A20" t="str">
            <v>YTMTCL</v>
          </cell>
          <cell r="B20" t="str">
            <v>XTB TCL 4.90% Dec-21</v>
          </cell>
          <cell r="C20" t="str">
            <v>Fixed Income - Australia</v>
          </cell>
          <cell r="E20" t="str">
            <v>YTMTCL</v>
          </cell>
          <cell r="F20" t="str">
            <v>n/a</v>
          </cell>
          <cell r="G20">
            <v>42913</v>
          </cell>
          <cell r="H20">
            <v>1081800</v>
          </cell>
          <cell r="I20">
            <v>0</v>
          </cell>
          <cell r="J20" t="str">
            <v>ACBC</v>
          </cell>
          <cell r="K20">
            <v>0</v>
          </cell>
          <cell r="L20">
            <v>1081800</v>
          </cell>
          <cell r="M20">
            <v>1081800</v>
          </cell>
          <cell r="N20">
            <v>0</v>
          </cell>
          <cell r="O20">
            <v>108.18</v>
          </cell>
          <cell r="P20">
            <v>10000</v>
          </cell>
          <cell r="Q20">
            <v>10000</v>
          </cell>
          <cell r="R20">
            <v>0</v>
          </cell>
        </row>
        <row r="21">
          <cell r="A21" t="str">
            <v>YTMTLS</v>
          </cell>
          <cell r="B21" t="str">
            <v>XTB TLS 7.75% Jul-20</v>
          </cell>
          <cell r="C21" t="str">
            <v>Fixed Income - Australia</v>
          </cell>
          <cell r="E21" t="str">
            <v>YTMTLS</v>
          </cell>
          <cell r="F21" t="str">
            <v>n/a</v>
          </cell>
          <cell r="G21">
            <v>42138</v>
          </cell>
          <cell r="H21">
            <v>4533020</v>
          </cell>
          <cell r="I21">
            <v>121408.29</v>
          </cell>
          <cell r="J21" t="str">
            <v>ACBC</v>
          </cell>
          <cell r="K21">
            <v>11</v>
          </cell>
          <cell r="L21">
            <v>4542500</v>
          </cell>
          <cell r="M21">
            <v>4542500</v>
          </cell>
          <cell r="N21">
            <v>-9480</v>
          </cell>
          <cell r="O21">
            <v>114.76</v>
          </cell>
          <cell r="P21">
            <v>39500</v>
          </cell>
          <cell r="Q21">
            <v>39500</v>
          </cell>
          <cell r="R21">
            <v>0</v>
          </cell>
        </row>
        <row r="22">
          <cell r="A22" t="str">
            <v>YTMTL1</v>
          </cell>
          <cell r="B22" t="str">
            <v>XTB TL1 4.00% Sep-22</v>
          </cell>
          <cell r="C22" t="str">
            <v>Fixed Income - Australia</v>
          </cell>
          <cell r="E22" t="str">
            <v>YTMTL1</v>
          </cell>
          <cell r="F22" t="str">
            <v>n/a</v>
          </cell>
          <cell r="G22">
            <v>42913</v>
          </cell>
          <cell r="H22">
            <v>3426707</v>
          </cell>
          <cell r="I22">
            <v>702988.37</v>
          </cell>
          <cell r="J22" t="str">
            <v>ACBC</v>
          </cell>
          <cell r="K22">
            <v>6</v>
          </cell>
          <cell r="L22">
            <v>2374950</v>
          </cell>
          <cell r="M22">
            <v>2374950</v>
          </cell>
          <cell r="N22">
            <v>1051757</v>
          </cell>
          <cell r="O22">
            <v>106.09</v>
          </cell>
          <cell r="P22">
            <v>32300</v>
          </cell>
          <cell r="Q22">
            <v>22300</v>
          </cell>
          <cell r="R22">
            <v>1060900</v>
          </cell>
        </row>
        <row r="23">
          <cell r="A23" t="str">
            <v>YTMWES</v>
          </cell>
          <cell r="B23" t="str">
            <v>XTB WES 6.25% Mar-19</v>
          </cell>
          <cell r="C23" t="str">
            <v>Fixed Income - Australia</v>
          </cell>
          <cell r="E23" t="str">
            <v>YTMWES</v>
          </cell>
          <cell r="F23" t="str">
            <v>n/a</v>
          </cell>
          <cell r="G23">
            <v>42138</v>
          </cell>
          <cell r="H23">
            <v>1572600</v>
          </cell>
          <cell r="I23">
            <v>235017.38</v>
          </cell>
          <cell r="J23" t="str">
            <v>ACBC</v>
          </cell>
          <cell r="K23">
            <v>4</v>
          </cell>
          <cell r="L23">
            <v>1571400</v>
          </cell>
          <cell r="M23">
            <v>1571400</v>
          </cell>
          <cell r="N23">
            <v>1200</v>
          </cell>
          <cell r="O23">
            <v>104.84</v>
          </cell>
          <cell r="P23">
            <v>15000</v>
          </cell>
          <cell r="Q23">
            <v>15000</v>
          </cell>
          <cell r="R23">
            <v>0</v>
          </cell>
        </row>
        <row r="24">
          <cell r="A24" t="str">
            <v>YTMWE1</v>
          </cell>
          <cell r="B24" t="str">
            <v>XTB WE1 4.75% Mar-20</v>
          </cell>
          <cell r="C24" t="str">
            <v>Fixed Income - Australia</v>
          </cell>
          <cell r="E24" t="str">
            <v>YTMWE1</v>
          </cell>
          <cell r="F24" t="str">
            <v>n/a</v>
          </cell>
          <cell r="G24">
            <v>42138</v>
          </cell>
          <cell r="H24">
            <v>6032310</v>
          </cell>
          <cell r="I24">
            <v>160275.63999999998</v>
          </cell>
          <cell r="J24" t="str">
            <v>ACBC</v>
          </cell>
          <cell r="K24">
            <v>5</v>
          </cell>
          <cell r="L24">
            <v>6027180</v>
          </cell>
          <cell r="M24">
            <v>6027180</v>
          </cell>
          <cell r="N24">
            <v>5130</v>
          </cell>
          <cell r="O24">
            <v>105.83</v>
          </cell>
          <cell r="P24">
            <v>57000</v>
          </cell>
          <cell r="Q24">
            <v>57000</v>
          </cell>
          <cell r="R24">
            <v>0</v>
          </cell>
        </row>
        <row r="25">
          <cell r="A25" t="str">
            <v>YTMAPA</v>
          </cell>
          <cell r="B25" t="str">
            <v>XTB APA 7.75% Jul-20</v>
          </cell>
          <cell r="C25" t="str">
            <v>Fixed Income - Australia</v>
          </cell>
          <cell r="E25" t="str">
            <v>YTMAPA</v>
          </cell>
          <cell r="F25" t="str">
            <v>n/a</v>
          </cell>
          <cell r="G25">
            <v>42312</v>
          </cell>
          <cell r="H25">
            <v>4984406</v>
          </cell>
          <cell r="I25">
            <v>205152.38</v>
          </cell>
          <cell r="J25" t="str">
            <v>ACBC</v>
          </cell>
          <cell r="K25">
            <v>6</v>
          </cell>
          <cell r="L25">
            <v>4969480</v>
          </cell>
          <cell r="M25">
            <v>4969480</v>
          </cell>
          <cell r="N25">
            <v>14926</v>
          </cell>
          <cell r="O25">
            <v>113.54</v>
          </cell>
          <cell r="P25">
            <v>43900</v>
          </cell>
          <cell r="Q25">
            <v>43900</v>
          </cell>
          <cell r="R25">
            <v>0</v>
          </cell>
        </row>
        <row r="26">
          <cell r="A26" t="str">
            <v>YTMAP1</v>
          </cell>
          <cell r="B26" t="str">
            <v>XTB AP1 3.75% Oct-23</v>
          </cell>
          <cell r="C26" t="str">
            <v>Fixed Income - Australia</v>
          </cell>
          <cell r="E26" t="str">
            <v>YTMAP1</v>
          </cell>
          <cell r="F26" t="str">
            <v>n/a</v>
          </cell>
          <cell r="G26">
            <v>43083</v>
          </cell>
          <cell r="H26">
            <v>1556400</v>
          </cell>
          <cell r="I26">
            <v>353766.50000000006</v>
          </cell>
          <cell r="J26" t="str">
            <v>ACBC</v>
          </cell>
          <cell r="K26">
            <v>7</v>
          </cell>
          <cell r="L26">
            <v>1551000</v>
          </cell>
          <cell r="M26">
            <v>1551000</v>
          </cell>
          <cell r="N26">
            <v>5400</v>
          </cell>
          <cell r="O26">
            <v>103.76</v>
          </cell>
          <cell r="P26">
            <v>15000</v>
          </cell>
          <cell r="Q26">
            <v>15000</v>
          </cell>
          <cell r="R26">
            <v>0</v>
          </cell>
        </row>
        <row r="27">
          <cell r="A27" t="str">
            <v>YTMGP1</v>
          </cell>
          <cell r="B27" t="str">
            <v>XTB GP1 3.66% Aug-26</v>
          </cell>
          <cell r="C27" t="str">
            <v>Fixed Income - Australia</v>
          </cell>
          <cell r="E27" t="str">
            <v>YTMGP1</v>
          </cell>
          <cell r="F27" t="str">
            <v>n/a</v>
          </cell>
          <cell r="G27">
            <v>43083</v>
          </cell>
          <cell r="H27">
            <v>3164556</v>
          </cell>
          <cell r="I27">
            <v>503633.29999999993</v>
          </cell>
          <cell r="J27" t="str">
            <v>ACBC</v>
          </cell>
          <cell r="K27">
            <v>26</v>
          </cell>
          <cell r="L27">
            <v>2627311</v>
          </cell>
          <cell r="M27">
            <v>2627311</v>
          </cell>
          <cell r="N27">
            <v>537245</v>
          </cell>
          <cell r="O27">
            <v>103.08</v>
          </cell>
          <cell r="P27">
            <v>30700</v>
          </cell>
          <cell r="Q27">
            <v>25700</v>
          </cell>
          <cell r="R27">
            <v>515400</v>
          </cell>
        </row>
        <row r="28">
          <cell r="A28" t="str">
            <v>YTMMG2</v>
          </cell>
          <cell r="B28" t="str">
            <v>XTB MG2 3.50% Sep-23</v>
          </cell>
          <cell r="C28" t="str">
            <v>Fixed Income - Australia</v>
          </cell>
          <cell r="E28" t="str">
            <v>YTMMG2</v>
          </cell>
          <cell r="F28" t="str">
            <v>n/a</v>
          </cell>
          <cell r="G28">
            <v>43083</v>
          </cell>
          <cell r="H28">
            <v>4110852</v>
          </cell>
          <cell r="I28">
            <v>1053669.71</v>
          </cell>
          <cell r="J28" t="str">
            <v>ACBC</v>
          </cell>
          <cell r="K28">
            <v>28</v>
          </cell>
          <cell r="L28">
            <v>4087536.0000000005</v>
          </cell>
          <cell r="M28">
            <v>4087536.0000000005</v>
          </cell>
          <cell r="N28">
            <v>23315.999999999534</v>
          </cell>
          <cell r="O28">
            <v>102.26</v>
          </cell>
          <cell r="P28">
            <v>40200</v>
          </cell>
          <cell r="Q28">
            <v>40200</v>
          </cell>
          <cell r="R28">
            <v>0</v>
          </cell>
        </row>
        <row r="29">
          <cell r="A29" t="str">
            <v>YTMSG2</v>
          </cell>
          <cell r="B29" t="str">
            <v>XTB SG2 4.50% Nov-22</v>
          </cell>
          <cell r="C29" t="str">
            <v>Fixed Income - Australia</v>
          </cell>
          <cell r="E29" t="str">
            <v>YTMSG2</v>
          </cell>
          <cell r="F29" t="str">
            <v>n/a</v>
          </cell>
          <cell r="G29">
            <v>43083</v>
          </cell>
          <cell r="H29">
            <v>2399175</v>
          </cell>
          <cell r="I29">
            <v>1013765.04</v>
          </cell>
          <cell r="J29" t="str">
            <v>ACBC</v>
          </cell>
          <cell r="K29">
            <v>9</v>
          </cell>
          <cell r="L29">
            <v>1328875</v>
          </cell>
          <cell r="M29">
            <v>1328875</v>
          </cell>
          <cell r="N29">
            <v>1070300</v>
          </cell>
          <cell r="O29">
            <v>106.63</v>
          </cell>
          <cell r="P29">
            <v>22500</v>
          </cell>
          <cell r="Q29">
            <v>12500</v>
          </cell>
          <cell r="R29">
            <v>1066300</v>
          </cell>
        </row>
        <row r="30">
          <cell r="A30" t="str">
            <v>YTMCCA</v>
          </cell>
          <cell r="B30" t="str">
            <v>XTB CCA 4.25% Nov-19</v>
          </cell>
          <cell r="C30" t="str">
            <v>Fixed Income - Australia</v>
          </cell>
          <cell r="E30" t="str">
            <v>YTMCCA</v>
          </cell>
          <cell r="F30" t="str">
            <v>n/a</v>
          </cell>
          <cell r="G30">
            <v>42332</v>
          </cell>
          <cell r="H30">
            <v>1545300</v>
          </cell>
          <cell r="I30">
            <v>2057.1999999999998</v>
          </cell>
          <cell r="J30" t="str">
            <v>ACBC</v>
          </cell>
          <cell r="K30">
            <v>1</v>
          </cell>
          <cell r="L30">
            <v>1542000</v>
          </cell>
          <cell r="M30">
            <v>1542000</v>
          </cell>
          <cell r="N30">
            <v>3300</v>
          </cell>
          <cell r="O30">
            <v>103.02</v>
          </cell>
          <cell r="P30">
            <v>15000</v>
          </cell>
          <cell r="Q30">
            <v>15000</v>
          </cell>
          <cell r="R30">
            <v>0</v>
          </cell>
        </row>
        <row r="31">
          <cell r="A31" t="str">
            <v>YTMCTX</v>
          </cell>
          <cell r="B31" t="str">
            <v>XTB CTX 7.25% Nov-18</v>
          </cell>
          <cell r="C31" t="str">
            <v>Fixed Income - Australia</v>
          </cell>
          <cell r="E31" t="str">
            <v>YTMCTX</v>
          </cell>
          <cell r="F31" t="str">
            <v>n/a</v>
          </cell>
          <cell r="G31">
            <v>42312</v>
          </cell>
          <cell r="H31">
            <v>1023700</v>
          </cell>
          <cell r="I31">
            <v>124032.04000000001</v>
          </cell>
          <cell r="J31" t="str">
            <v>ACBC</v>
          </cell>
          <cell r="K31">
            <v>8</v>
          </cell>
          <cell r="L31">
            <v>1021100</v>
          </cell>
          <cell r="M31">
            <v>1021100</v>
          </cell>
          <cell r="N31">
            <v>2600</v>
          </cell>
          <cell r="O31">
            <v>102.37</v>
          </cell>
          <cell r="P31">
            <v>10000</v>
          </cell>
          <cell r="Q31">
            <v>10000</v>
          </cell>
          <cell r="R31">
            <v>0</v>
          </cell>
        </row>
        <row r="32">
          <cell r="A32" t="str">
            <v>YTMNAB</v>
          </cell>
          <cell r="B32" t="str">
            <v>XTB NAB 4.25% May-19</v>
          </cell>
          <cell r="C32" t="str">
            <v>Fixed Income - Australia</v>
          </cell>
          <cell r="E32" t="str">
            <v>YTMNAB</v>
          </cell>
          <cell r="F32" t="str">
            <v>n/a</v>
          </cell>
          <cell r="G32">
            <v>42332</v>
          </cell>
          <cell r="H32">
            <v>511550</v>
          </cell>
          <cell r="I32">
            <v>0</v>
          </cell>
          <cell r="J32" t="str">
            <v>ACBC</v>
          </cell>
          <cell r="K32">
            <v>0</v>
          </cell>
          <cell r="L32">
            <v>511550</v>
          </cell>
          <cell r="M32">
            <v>511550</v>
          </cell>
          <cell r="N32">
            <v>0</v>
          </cell>
          <cell r="O32">
            <v>102.31</v>
          </cell>
          <cell r="P32">
            <v>5000</v>
          </cell>
          <cell r="Q32">
            <v>5000</v>
          </cell>
          <cell r="R32">
            <v>0</v>
          </cell>
        </row>
        <row r="33">
          <cell r="A33" t="str">
            <v>YTMQF1</v>
          </cell>
          <cell r="B33" t="str">
            <v>XTB QF1 6.50% Apr-20</v>
          </cell>
          <cell r="C33" t="str">
            <v>Fixed Income - Australia</v>
          </cell>
          <cell r="E33" t="str">
            <v>YTMQF1</v>
          </cell>
          <cell r="F33" t="str">
            <v>n/a</v>
          </cell>
          <cell r="G33">
            <v>42312</v>
          </cell>
          <cell r="H33">
            <v>9397544</v>
          </cell>
          <cell r="I33">
            <v>614239.66</v>
          </cell>
          <cell r="J33" t="str">
            <v>ACBC</v>
          </cell>
          <cell r="K33">
            <v>10</v>
          </cell>
          <cell r="L33">
            <v>9375744</v>
          </cell>
          <cell r="M33">
            <v>9375744</v>
          </cell>
          <cell r="N33">
            <v>21800</v>
          </cell>
          <cell r="O33">
            <v>107.77</v>
          </cell>
          <cell r="P33">
            <v>87200</v>
          </cell>
          <cell r="Q33">
            <v>87200</v>
          </cell>
          <cell r="R33">
            <v>0</v>
          </cell>
        </row>
        <row r="34">
          <cell r="A34" t="str">
            <v>YTMQF2</v>
          </cell>
          <cell r="B34" t="str">
            <v>XTB QF2 7.50% Jun-21</v>
          </cell>
          <cell r="C34" t="str">
            <v>Fixed Income - Australia</v>
          </cell>
          <cell r="E34" t="str">
            <v>YTMQF2</v>
          </cell>
          <cell r="F34" t="str">
            <v>n/a</v>
          </cell>
          <cell r="G34">
            <v>42312</v>
          </cell>
          <cell r="H34">
            <v>16202002</v>
          </cell>
          <cell r="I34">
            <v>861075.58000000007</v>
          </cell>
          <cell r="J34" t="str">
            <v>ACBC</v>
          </cell>
          <cell r="K34">
            <v>26</v>
          </cell>
          <cell r="L34">
            <v>16129123</v>
          </cell>
          <cell r="M34">
            <v>16129123</v>
          </cell>
          <cell r="N34">
            <v>72879</v>
          </cell>
          <cell r="O34">
            <v>113.38</v>
          </cell>
          <cell r="P34">
            <v>142900</v>
          </cell>
          <cell r="Q34">
            <v>142900</v>
          </cell>
          <cell r="R34">
            <v>0</v>
          </cell>
        </row>
        <row r="35">
          <cell r="A35" t="str">
            <v>YTMQF3</v>
          </cell>
          <cell r="B35" t="str">
            <v>XTB QF3 7.75% May-22</v>
          </cell>
          <cell r="C35" t="str">
            <v>Fixed Income - Australia</v>
          </cell>
          <cell r="E35" t="str">
            <v>YTMQF3</v>
          </cell>
          <cell r="F35" t="str">
            <v>n/a</v>
          </cell>
          <cell r="G35">
            <v>42312</v>
          </cell>
          <cell r="H35">
            <v>18510720</v>
          </cell>
          <cell r="I35">
            <v>1036787.3300000002</v>
          </cell>
          <cell r="J35" t="str">
            <v>ACBC</v>
          </cell>
          <cell r="K35">
            <v>45</v>
          </cell>
          <cell r="L35">
            <v>18283690</v>
          </cell>
          <cell r="M35">
            <v>18283690</v>
          </cell>
          <cell r="N35">
            <v>227030</v>
          </cell>
          <cell r="O35">
            <v>119.04</v>
          </cell>
          <cell r="P35">
            <v>155500</v>
          </cell>
          <cell r="Q35">
            <v>155500</v>
          </cell>
          <cell r="R35">
            <v>0</v>
          </cell>
        </row>
        <row r="36">
          <cell r="A36" t="str">
            <v>YTMSYD</v>
          </cell>
          <cell r="B36" t="str">
            <v>XTB SYD 7.75% Jul-18</v>
          </cell>
          <cell r="C36" t="str">
            <v>Fixed Income - Australia</v>
          </cell>
          <cell r="E36" t="str">
            <v>YTMSYD</v>
          </cell>
          <cell r="F36" t="str">
            <v>n/a</v>
          </cell>
          <cell r="G36">
            <v>42332</v>
          </cell>
          <cell r="H36">
            <v>929510.39999999991</v>
          </cell>
          <cell r="I36">
            <v>166509.91000000003</v>
          </cell>
          <cell r="J36" t="str">
            <v>ACBC</v>
          </cell>
          <cell r="K36">
            <v>13</v>
          </cell>
          <cell r="L36">
            <v>927628.80000000005</v>
          </cell>
          <cell r="M36">
            <v>927628.80000000005</v>
          </cell>
          <cell r="N36">
            <v>1881.5999999998603</v>
          </cell>
          <cell r="O36">
            <v>103.74</v>
          </cell>
          <cell r="P36">
            <v>8960</v>
          </cell>
          <cell r="Q36">
            <v>8960</v>
          </cell>
          <cell r="R36">
            <v>0</v>
          </cell>
        </row>
        <row r="37">
          <cell r="A37" t="str">
            <v>YTMF04</v>
          </cell>
          <cell r="B37" t="str">
            <v>XTB F04 FLT Nov-18</v>
          </cell>
          <cell r="C37" t="str">
            <v>Fixed Income - Australia</v>
          </cell>
          <cell r="E37" t="str">
            <v>YTMF04</v>
          </cell>
          <cell r="F37" t="str">
            <v>n/a</v>
          </cell>
          <cell r="G37">
            <v>42320</v>
          </cell>
          <cell r="H37">
            <v>3522050</v>
          </cell>
          <cell r="I37">
            <v>100.60000000000001</v>
          </cell>
          <cell r="J37" t="str">
            <v>ACBC</v>
          </cell>
          <cell r="K37">
            <v>1</v>
          </cell>
          <cell r="L37">
            <v>3516450</v>
          </cell>
          <cell r="M37">
            <v>3516450</v>
          </cell>
          <cell r="N37">
            <v>5600</v>
          </cell>
          <cell r="O37">
            <v>100.63</v>
          </cell>
          <cell r="P37">
            <v>35000</v>
          </cell>
          <cell r="Q37">
            <v>35000</v>
          </cell>
          <cell r="R37">
            <v>0</v>
          </cell>
        </row>
        <row r="38">
          <cell r="A38" t="str">
            <v>YTMF05</v>
          </cell>
          <cell r="B38" t="str">
            <v>XTB F05 FLT May-19</v>
          </cell>
          <cell r="C38" t="str">
            <v>Fixed Income - Australia</v>
          </cell>
          <cell r="E38" t="str">
            <v>YTMF05</v>
          </cell>
          <cell r="F38" t="str">
            <v>n/a</v>
          </cell>
          <cell r="G38">
            <v>42320</v>
          </cell>
          <cell r="H38">
            <v>1512150</v>
          </cell>
          <cell r="I38">
            <v>130931.34000000001</v>
          </cell>
          <cell r="J38" t="str">
            <v>ACBC</v>
          </cell>
          <cell r="K38">
            <v>5</v>
          </cell>
          <cell r="L38">
            <v>1510350</v>
          </cell>
          <cell r="M38">
            <v>1510350</v>
          </cell>
          <cell r="N38">
            <v>1800</v>
          </cell>
          <cell r="O38">
            <v>100.81</v>
          </cell>
          <cell r="P38">
            <v>15000</v>
          </cell>
          <cell r="Q38">
            <v>15000</v>
          </cell>
          <cell r="R38">
            <v>0</v>
          </cell>
        </row>
        <row r="39">
          <cell r="A39" t="str">
            <v>YTMF06</v>
          </cell>
          <cell r="B39" t="str">
            <v>XTB F06 FLT Apr-19</v>
          </cell>
          <cell r="C39" t="str">
            <v>Fixed Income - Australia</v>
          </cell>
          <cell r="E39" t="str">
            <v>YTMF06</v>
          </cell>
          <cell r="F39" t="str">
            <v>n/a</v>
          </cell>
          <cell r="G39">
            <v>42320</v>
          </cell>
          <cell r="H39">
            <v>13474230</v>
          </cell>
          <cell r="I39">
            <v>2697575.38</v>
          </cell>
          <cell r="J39" t="str">
            <v>ACBC</v>
          </cell>
          <cell r="K39">
            <v>27</v>
          </cell>
          <cell r="L39">
            <v>11916820</v>
          </cell>
          <cell r="M39">
            <v>11916820</v>
          </cell>
          <cell r="N39">
            <v>1557410</v>
          </cell>
          <cell r="O39">
            <v>101.31</v>
          </cell>
          <cell r="P39">
            <v>133000</v>
          </cell>
          <cell r="Q39">
            <v>118000</v>
          </cell>
          <cell r="R39">
            <v>1519650</v>
          </cell>
        </row>
        <row r="40">
          <cell r="A40" t="str">
            <v>YTMF07</v>
          </cell>
          <cell r="B40" t="str">
            <v>XTB F07 FLT Apr-20</v>
          </cell>
          <cell r="C40" t="str">
            <v>Fixed Income - Australia</v>
          </cell>
          <cell r="E40" t="str">
            <v>YTMF07</v>
          </cell>
          <cell r="F40" t="str">
            <v>n/a</v>
          </cell>
          <cell r="G40">
            <v>42668</v>
          </cell>
          <cell r="H40">
            <v>1521900</v>
          </cell>
          <cell r="I40">
            <v>166353.20000000001</v>
          </cell>
          <cell r="J40" t="str">
            <v>ACBC</v>
          </cell>
          <cell r="K40">
            <v>3</v>
          </cell>
          <cell r="L40">
            <v>1520700</v>
          </cell>
          <cell r="M40">
            <v>1520700</v>
          </cell>
          <cell r="N40">
            <v>1200</v>
          </cell>
          <cell r="O40">
            <v>101.46</v>
          </cell>
          <cell r="P40">
            <v>15000.000000000002</v>
          </cell>
          <cell r="Q40">
            <v>15000</v>
          </cell>
          <cell r="R40">
            <v>1.8455466488376259E-10</v>
          </cell>
        </row>
        <row r="41">
          <cell r="A41" t="str">
            <v>YTMF08</v>
          </cell>
          <cell r="B41" t="str">
            <v>XTB F08 FLT Nov-19</v>
          </cell>
          <cell r="C41" t="str">
            <v>Fixed Income - Australia</v>
          </cell>
          <cell r="E41" t="str">
            <v>YTMF08</v>
          </cell>
          <cell r="F41" t="str">
            <v>n/a</v>
          </cell>
          <cell r="G41">
            <v>42668</v>
          </cell>
          <cell r="H41">
            <v>12383525</v>
          </cell>
          <cell r="I41">
            <v>3376419.6900000004</v>
          </cell>
          <cell r="J41" t="str">
            <v>ACBC</v>
          </cell>
          <cell r="K41">
            <v>38</v>
          </cell>
          <cell r="L41">
            <v>9637860</v>
          </cell>
          <cell r="M41">
            <v>9637860</v>
          </cell>
          <cell r="N41">
            <v>2745665</v>
          </cell>
          <cell r="O41">
            <v>101.09</v>
          </cell>
          <cell r="P41">
            <v>122500</v>
          </cell>
          <cell r="Q41">
            <v>95500</v>
          </cell>
          <cell r="R41">
            <v>2729430</v>
          </cell>
        </row>
        <row r="42">
          <cell r="A42" t="str">
            <v>YTMF09</v>
          </cell>
          <cell r="B42" t="str">
            <v>XTB F09 FLT Mar-20</v>
          </cell>
          <cell r="C42" t="str">
            <v>Fixed Income - Australia</v>
          </cell>
          <cell r="E42" t="str">
            <v>YTMF09</v>
          </cell>
          <cell r="F42" t="str">
            <v>n/a</v>
          </cell>
          <cell r="G42">
            <v>42668</v>
          </cell>
          <cell r="H42">
            <v>13288640</v>
          </cell>
          <cell r="I42">
            <v>1071773.1299999999</v>
          </cell>
          <cell r="J42" t="str">
            <v>ACBC</v>
          </cell>
          <cell r="K42">
            <v>49</v>
          </cell>
          <cell r="L42">
            <v>12763800</v>
          </cell>
          <cell r="M42">
            <v>12763800</v>
          </cell>
          <cell r="N42">
            <v>524840</v>
          </cell>
          <cell r="O42">
            <v>101.44</v>
          </cell>
          <cell r="P42">
            <v>131000</v>
          </cell>
          <cell r="Q42">
            <v>126000</v>
          </cell>
          <cell r="R42">
            <v>507200</v>
          </cell>
        </row>
        <row r="43">
          <cell r="A43" t="str">
            <v>YTMF10</v>
          </cell>
          <cell r="B43" t="str">
            <v>XTB F10 FLT Jun-20</v>
          </cell>
          <cell r="C43" t="str">
            <v>Fixed Income - Australia</v>
          </cell>
          <cell r="E43" t="str">
            <v>YTMF10</v>
          </cell>
          <cell r="F43" t="str">
            <v>n/a</v>
          </cell>
          <cell r="G43">
            <v>42668</v>
          </cell>
          <cell r="H43">
            <v>3636000</v>
          </cell>
          <cell r="I43">
            <v>167470.70000000001</v>
          </cell>
          <cell r="J43" t="str">
            <v>ACBC</v>
          </cell>
          <cell r="K43">
            <v>8</v>
          </cell>
          <cell r="L43">
            <v>3130690</v>
          </cell>
          <cell r="M43">
            <v>3130690</v>
          </cell>
          <cell r="N43">
            <v>505310</v>
          </cell>
          <cell r="O43">
            <v>101</v>
          </cell>
          <cell r="P43">
            <v>36000</v>
          </cell>
          <cell r="Q43">
            <v>31000</v>
          </cell>
          <cell r="R43">
            <v>505000</v>
          </cell>
        </row>
        <row r="44">
          <cell r="A44" t="str">
            <v>YTMF11</v>
          </cell>
          <cell r="B44" t="str">
            <v>XTB F11 FLT Jul-20</v>
          </cell>
          <cell r="C44" t="str">
            <v>Fixed Income - Australia</v>
          </cell>
          <cell r="E44" t="str">
            <v>YTMF11</v>
          </cell>
          <cell r="F44" t="str">
            <v>n/a</v>
          </cell>
          <cell r="G44">
            <v>42668</v>
          </cell>
          <cell r="H44">
            <v>6706920</v>
          </cell>
          <cell r="I44">
            <v>349212.77</v>
          </cell>
          <cell r="J44" t="str">
            <v>ACBC</v>
          </cell>
          <cell r="K44">
            <v>12</v>
          </cell>
          <cell r="L44">
            <v>6697020</v>
          </cell>
          <cell r="M44">
            <v>6697020</v>
          </cell>
          <cell r="N44">
            <v>9900</v>
          </cell>
          <cell r="O44">
            <v>101.62</v>
          </cell>
          <cell r="P44">
            <v>66000</v>
          </cell>
          <cell r="Q44">
            <v>66000</v>
          </cell>
          <cell r="R44">
            <v>0</v>
          </cell>
        </row>
        <row r="45">
          <cell r="A45" t="str">
            <v>YTMANZ</v>
          </cell>
          <cell r="B45" t="str">
            <v>XTB ANZ 3.25% Jun-20</v>
          </cell>
          <cell r="C45" t="str">
            <v>Fixed Income - Australia</v>
          </cell>
          <cell r="E45" t="str">
            <v>YTMANZ</v>
          </cell>
          <cell r="F45" t="str">
            <v>n/a</v>
          </cell>
          <cell r="G45">
            <v>42668</v>
          </cell>
          <cell r="H45">
            <v>1021300</v>
          </cell>
          <cell r="I45">
            <v>32795.78</v>
          </cell>
          <cell r="J45" t="str">
            <v>ACBC</v>
          </cell>
          <cell r="K45">
            <v>5</v>
          </cell>
          <cell r="L45">
            <v>1020500</v>
          </cell>
          <cell r="M45">
            <v>1020500</v>
          </cell>
          <cell r="N45">
            <v>800</v>
          </cell>
          <cell r="O45">
            <v>102.13</v>
          </cell>
          <cell r="P45">
            <v>10000</v>
          </cell>
          <cell r="Q45">
            <v>10000</v>
          </cell>
          <cell r="R45">
            <v>0</v>
          </cell>
        </row>
        <row r="46">
          <cell r="A46" t="str">
            <v>YTMMQG</v>
          </cell>
          <cell r="B46" t="str">
            <v>XTB MQG 3.25% Mar-20</v>
          </cell>
          <cell r="C46" t="str">
            <v>Fixed Income - Australia</v>
          </cell>
          <cell r="E46" t="str">
            <v>YTMMQG</v>
          </cell>
          <cell r="F46" t="str">
            <v>n/a</v>
          </cell>
          <cell r="G46">
            <v>42668</v>
          </cell>
          <cell r="H46">
            <v>1026700</v>
          </cell>
          <cell r="I46">
            <v>0</v>
          </cell>
          <cell r="J46" t="str">
            <v>ACBC</v>
          </cell>
          <cell r="K46">
            <v>0</v>
          </cell>
          <cell r="L46">
            <v>1024500</v>
          </cell>
          <cell r="M46">
            <v>1024500</v>
          </cell>
          <cell r="N46">
            <v>2200</v>
          </cell>
          <cell r="O46">
            <v>102.67</v>
          </cell>
          <cell r="P46">
            <v>10000</v>
          </cell>
          <cell r="Q46">
            <v>10000</v>
          </cell>
          <cell r="R46">
            <v>0</v>
          </cell>
        </row>
        <row r="47">
          <cell r="A47" t="str">
            <v>YTMNA1</v>
          </cell>
          <cell r="B47" t="str">
            <v>XTB NA1 4.00% Dec-21</v>
          </cell>
          <cell r="C47" t="str">
            <v>Fixed Income - Australia</v>
          </cell>
          <cell r="E47" t="str">
            <v>YTMNA1</v>
          </cell>
          <cell r="F47" t="str">
            <v>n/a</v>
          </cell>
          <cell r="G47">
            <v>42668</v>
          </cell>
          <cell r="H47">
            <v>5256500</v>
          </cell>
          <cell r="I47">
            <v>118087.66</v>
          </cell>
          <cell r="J47" t="str">
            <v>ACBC</v>
          </cell>
          <cell r="K47">
            <v>4</v>
          </cell>
          <cell r="L47">
            <v>4802850</v>
          </cell>
          <cell r="M47">
            <v>4802850</v>
          </cell>
          <cell r="N47">
            <v>453650</v>
          </cell>
          <cell r="O47">
            <v>105.13</v>
          </cell>
          <cell r="P47">
            <v>50000</v>
          </cell>
          <cell r="Q47">
            <v>45000</v>
          </cell>
          <cell r="R47">
            <v>525650</v>
          </cell>
        </row>
        <row r="48">
          <cell r="A48" t="str">
            <v>YTMWBC</v>
          </cell>
          <cell r="B48" t="str">
            <v>XTB WBC 3.25% Jan-20</v>
          </cell>
          <cell r="C48" t="str">
            <v>Fixed Income - Australia</v>
          </cell>
          <cell r="E48" t="str">
            <v>YTMWBC</v>
          </cell>
          <cell r="F48" t="str">
            <v>n/a</v>
          </cell>
          <cell r="G48">
            <v>42668</v>
          </cell>
          <cell r="H48">
            <v>515300</v>
          </cell>
          <cell r="I48">
            <v>0</v>
          </cell>
          <cell r="J48" t="str">
            <v>ACBC</v>
          </cell>
          <cell r="K48">
            <v>0</v>
          </cell>
          <cell r="L48">
            <v>514450</v>
          </cell>
          <cell r="M48">
            <v>514450</v>
          </cell>
          <cell r="N48">
            <v>850</v>
          </cell>
          <cell r="O48">
            <v>103.06</v>
          </cell>
          <cell r="P48">
            <v>5000</v>
          </cell>
          <cell r="Q48">
            <v>5000</v>
          </cell>
          <cell r="R48">
            <v>0</v>
          </cell>
        </row>
        <row r="49">
          <cell r="A49" t="str">
            <v>YTMWB1</v>
          </cell>
          <cell r="B49" t="str">
            <v>XTB WB1 3.50% Jul-20</v>
          </cell>
          <cell r="C49" t="str">
            <v>Fixed Income - Australia</v>
          </cell>
          <cell r="E49" t="str">
            <v>YTMWB1</v>
          </cell>
          <cell r="F49" t="str">
            <v>n/a</v>
          </cell>
          <cell r="G49">
            <v>42668</v>
          </cell>
          <cell r="H49">
            <v>1040400.0000000001</v>
          </cell>
          <cell r="I49">
            <v>32962.020000000004</v>
          </cell>
          <cell r="J49" t="str">
            <v>ACBC</v>
          </cell>
          <cell r="K49">
            <v>5</v>
          </cell>
          <cell r="L49">
            <v>1037500</v>
          </cell>
          <cell r="M49">
            <v>1037500</v>
          </cell>
          <cell r="N49">
            <v>2900.0000000001164</v>
          </cell>
          <cell r="O49">
            <v>104.04</v>
          </cell>
          <cell r="P49">
            <v>10000</v>
          </cell>
          <cell r="Q49">
            <v>10000</v>
          </cell>
          <cell r="R49">
            <v>0</v>
          </cell>
        </row>
        <row r="50">
          <cell r="A50" t="str">
            <v>YTMWOW</v>
          </cell>
          <cell r="B50" t="str">
            <v>XTB WOW 6.00% Mar-19</v>
          </cell>
          <cell r="C50" t="str">
            <v>Fixed Income - Australia</v>
          </cell>
          <cell r="E50" t="str">
            <v>YTMWOW</v>
          </cell>
          <cell r="F50" t="str">
            <v>n/a</v>
          </cell>
          <cell r="G50">
            <v>42138</v>
          </cell>
          <cell r="H50">
            <v>6271200</v>
          </cell>
          <cell r="I50">
            <v>23827.990000000005</v>
          </cell>
          <cell r="J50" t="str">
            <v>ACBC</v>
          </cell>
          <cell r="K50">
            <v>4</v>
          </cell>
          <cell r="L50">
            <v>6271200</v>
          </cell>
          <cell r="M50">
            <v>6271200</v>
          </cell>
          <cell r="N50">
            <v>0</v>
          </cell>
          <cell r="O50">
            <v>104.52</v>
          </cell>
          <cell r="P50">
            <v>60000</v>
          </cell>
          <cell r="Q50">
            <v>60000</v>
          </cell>
          <cell r="R50">
            <v>0</v>
          </cell>
        </row>
        <row r="52">
          <cell r="H52">
            <v>295791531.39999998</v>
          </cell>
          <cell r="M52">
            <v>283911724.80000001</v>
          </cell>
          <cell r="N52">
            <v>11879806.6</v>
          </cell>
          <cell r="R52">
            <v>11392955</v>
          </cell>
        </row>
        <row r="54">
          <cell r="A54" t="str">
            <v>Number:</v>
          </cell>
        </row>
        <row r="56">
          <cell r="A56" t="str">
            <v>Australian Broad Based</v>
          </cell>
          <cell r="B56">
            <v>0</v>
          </cell>
        </row>
        <row r="57">
          <cell r="A57" t="str">
            <v>Australian Sector</v>
          </cell>
          <cell r="B57">
            <v>0</v>
          </cell>
        </row>
        <row r="58">
          <cell r="A58" t="str">
            <v>Australian Strategy Based</v>
          </cell>
          <cell r="B58">
            <v>0</v>
          </cell>
        </row>
        <row r="59">
          <cell r="A59" t="str">
            <v>International Broad Based</v>
          </cell>
          <cell r="B59">
            <v>0</v>
          </cell>
        </row>
        <row r="60">
          <cell r="A60" t="str">
            <v>International Sector</v>
          </cell>
          <cell r="B60">
            <v>0</v>
          </cell>
        </row>
        <row r="61">
          <cell r="A61" t="str">
            <v>Commodity</v>
          </cell>
          <cell r="B61">
            <v>0</v>
          </cell>
        </row>
        <row r="62">
          <cell r="A62" t="str">
            <v>Currency</v>
          </cell>
          <cell r="B62">
            <v>0</v>
          </cell>
        </row>
        <row r="63">
          <cell r="A63" t="str">
            <v>Fixed Income</v>
          </cell>
          <cell r="B63">
            <v>0</v>
          </cell>
        </row>
        <row r="64">
          <cell r="A64" t="str">
            <v>Total</v>
          </cell>
          <cell r="B64">
            <v>0</v>
          </cell>
        </row>
        <row r="67">
          <cell r="B67" t="str">
            <v>FUM</v>
          </cell>
        </row>
        <row r="70">
          <cell r="B70" t="str">
            <v>FUM</v>
          </cell>
          <cell r="C70" t="str">
            <v>Value Transacted</v>
          </cell>
          <cell r="D70" t="str">
            <v>Change in FUM</v>
          </cell>
          <cell r="E70" t="str">
            <v>Units Inflow / Outflow</v>
          </cell>
        </row>
        <row r="71">
          <cell r="A71" t="str">
            <v>Australian Broad Based</v>
          </cell>
          <cell r="B71">
            <v>0</v>
          </cell>
          <cell r="C71">
            <v>0</v>
          </cell>
          <cell r="D71">
            <v>0</v>
          </cell>
          <cell r="E71">
            <v>0</v>
          </cell>
        </row>
        <row r="72">
          <cell r="A72" t="str">
            <v>Australian Sector</v>
          </cell>
          <cell r="B72">
            <v>0</v>
          </cell>
          <cell r="C72">
            <v>0</v>
          </cell>
          <cell r="D72">
            <v>0</v>
          </cell>
          <cell r="E72">
            <v>0</v>
          </cell>
        </row>
        <row r="73">
          <cell r="A73" t="str">
            <v>Australian Strategy Based</v>
          </cell>
          <cell r="B73">
            <v>0</v>
          </cell>
          <cell r="C73">
            <v>0</v>
          </cell>
          <cell r="D73">
            <v>0</v>
          </cell>
          <cell r="E73">
            <v>0</v>
          </cell>
        </row>
        <row r="74">
          <cell r="A74" t="str">
            <v>International Broad Based</v>
          </cell>
          <cell r="B74">
            <v>0</v>
          </cell>
          <cell r="C74">
            <v>0</v>
          </cell>
          <cell r="D74">
            <v>0</v>
          </cell>
          <cell r="E74">
            <v>0</v>
          </cell>
        </row>
        <row r="75">
          <cell r="A75" t="str">
            <v>International Sector</v>
          </cell>
          <cell r="B75">
            <v>0</v>
          </cell>
          <cell r="C75">
            <v>0</v>
          </cell>
          <cell r="D75">
            <v>0</v>
          </cell>
          <cell r="E75">
            <v>0</v>
          </cell>
        </row>
        <row r="76">
          <cell r="A76" t="str">
            <v>Commodity</v>
          </cell>
          <cell r="B76">
            <v>0</v>
          </cell>
          <cell r="C76">
            <v>0</v>
          </cell>
          <cell r="D76">
            <v>0</v>
          </cell>
          <cell r="E76">
            <v>0</v>
          </cell>
        </row>
        <row r="77">
          <cell r="A77" t="str">
            <v>Currency</v>
          </cell>
          <cell r="B77">
            <v>0</v>
          </cell>
          <cell r="C77">
            <v>0</v>
          </cell>
          <cell r="D77">
            <v>0</v>
          </cell>
          <cell r="E77">
            <v>0</v>
          </cell>
        </row>
        <row r="78">
          <cell r="A78" t="str">
            <v>Fixed Income</v>
          </cell>
          <cell r="B78">
            <v>0</v>
          </cell>
          <cell r="C78">
            <v>0</v>
          </cell>
          <cell r="D78">
            <v>0</v>
          </cell>
          <cell r="E78">
            <v>0</v>
          </cell>
        </row>
        <row r="79">
          <cell r="A79" t="str">
            <v>Total</v>
          </cell>
          <cell r="B79">
            <v>0</v>
          </cell>
          <cell r="C79">
            <v>0</v>
          </cell>
          <cell r="D79">
            <v>0</v>
          </cell>
          <cell r="E79">
            <v>0</v>
          </cell>
        </row>
        <row r="81">
          <cell r="C81" t="str">
            <v>mcap</v>
          </cell>
          <cell r="D81" t="str">
            <v>number of funds</v>
          </cell>
          <cell r="E81" t="str">
            <v>value Transacted</v>
          </cell>
          <cell r="F81" t="str">
            <v>Trades</v>
          </cell>
        </row>
        <row r="83">
          <cell r="A83" t="str">
            <v>ACBC</v>
          </cell>
          <cell r="B83">
            <v>295791531.39999998</v>
          </cell>
          <cell r="C83">
            <v>295.7915314</v>
          </cell>
          <cell r="D83">
            <v>49</v>
          </cell>
          <cell r="E83">
            <v>23159753.84</v>
          </cell>
          <cell r="F83">
            <v>671</v>
          </cell>
          <cell r="G83">
            <v>11879806.6</v>
          </cell>
          <cell r="H83">
            <v>11392955</v>
          </cell>
        </row>
        <row r="84">
          <cell r="D84">
            <v>49</v>
          </cell>
          <cell r="E84">
            <v>23159753.84</v>
          </cell>
          <cell r="F84">
            <v>671</v>
          </cell>
          <cell r="G84">
            <v>0</v>
          </cell>
          <cell r="H84">
            <v>0</v>
          </cell>
        </row>
        <row r="86">
          <cell r="A86" t="str">
            <v>Issuer Breakdown</v>
          </cell>
        </row>
        <row r="88">
          <cell r="B88" t="str">
            <v>Number of Products on Issue</v>
          </cell>
          <cell r="C88" t="str">
            <v>FUM by Issuer</v>
          </cell>
          <cell r="D88" t="str">
            <v>Value Transacted</v>
          </cell>
          <cell r="E88" t="str">
            <v>Number of Trades</v>
          </cell>
        </row>
        <row r="90">
          <cell r="A90" t="str">
            <v>ACBC</v>
          </cell>
          <cell r="B90">
            <v>49</v>
          </cell>
          <cell r="C90">
            <v>295791531.39999998</v>
          </cell>
          <cell r="D90">
            <v>23159753.84</v>
          </cell>
          <cell r="E90">
            <v>671</v>
          </cell>
          <cell r="F90">
            <v>11879806.6</v>
          </cell>
          <cell r="G90">
            <v>11392955</v>
          </cell>
        </row>
        <row r="91">
          <cell r="A91" t="str">
            <v>Other</v>
          </cell>
        </row>
        <row r="95">
          <cell r="A95" t="str">
            <v>Top 5 by Value</v>
          </cell>
        </row>
        <row r="96">
          <cell r="A96" t="str">
            <v>YTMF08</v>
          </cell>
          <cell r="B96">
            <v>3.3764196900000005</v>
          </cell>
          <cell r="C96">
            <v>3376419.6900000004</v>
          </cell>
          <cell r="D96" t="str">
            <v>XTB F08 FLT Nov-19</v>
          </cell>
          <cell r="E96" t="str">
            <v>YTMF08 - XTB F08 FLT Nov-19</v>
          </cell>
        </row>
        <row r="97">
          <cell r="A97" t="str">
            <v>YTMF06</v>
          </cell>
          <cell r="B97">
            <v>2.69757538</v>
          </cell>
          <cell r="C97">
            <v>2697575.38</v>
          </cell>
          <cell r="D97" t="str">
            <v>XTB F06 FLT Apr-19</v>
          </cell>
          <cell r="E97" t="str">
            <v>YTMF06 - XTB F06 FLT Apr-19</v>
          </cell>
        </row>
        <row r="98">
          <cell r="A98" t="str">
            <v>YTMDO1</v>
          </cell>
          <cell r="B98">
            <v>1.3621664599999996</v>
          </cell>
          <cell r="C98">
            <v>1362166.4599999997</v>
          </cell>
          <cell r="D98" t="str">
            <v>XTB DO1 4.50% Mar-22</v>
          </cell>
          <cell r="E98" t="str">
            <v>YTMDO1 - XTB DO1 4.50% Mar-22</v>
          </cell>
        </row>
        <row r="99">
          <cell r="A99" t="str">
            <v>YTMNVN</v>
          </cell>
          <cell r="B99">
            <v>1.3106593900000001</v>
          </cell>
          <cell r="C99">
            <v>1310659.3900000001</v>
          </cell>
          <cell r="D99" t="str">
            <v>XTB NVN 5.00% Dec-19</v>
          </cell>
          <cell r="E99" t="str">
            <v>YTMNVN - XTB NVN 5.00% Dec-19</v>
          </cell>
        </row>
        <row r="100">
          <cell r="A100" t="str">
            <v>YTMF09</v>
          </cell>
          <cell r="B100">
            <v>1.07177313</v>
          </cell>
          <cell r="C100">
            <v>1071773.1299999999</v>
          </cell>
          <cell r="D100" t="str">
            <v>XTB F09 FLT Mar-20</v>
          </cell>
          <cell r="E100" t="str">
            <v>YTMF09 - XTB F09 FLT Mar-20</v>
          </cell>
        </row>
      </sheetData>
      <sheetData sheetId="29">
        <row r="2">
          <cell r="A2" t="str">
            <v>AFZ01</v>
          </cell>
          <cell r="B2" t="str">
            <v>Aberdeen Asian Opportunities</v>
          </cell>
          <cell r="C2" t="str">
            <v>Equity - Global</v>
          </cell>
          <cell r="E2" t="str">
            <v>AFZ01</v>
          </cell>
          <cell r="F2" t="str">
            <v>1.18%</v>
          </cell>
          <cell r="G2">
            <v>41883</v>
          </cell>
          <cell r="H2">
            <v>1995548.2305657263</v>
          </cell>
          <cell r="I2">
            <v>25123.39</v>
          </cell>
          <cell r="J2" t="str">
            <v>Aberdeen</v>
          </cell>
          <cell r="K2">
            <v>1</v>
          </cell>
          <cell r="L2">
            <v>2064809.196722277</v>
          </cell>
          <cell r="M2">
            <v>2064809.196722277</v>
          </cell>
          <cell r="N2">
            <v>-69260.966156550683</v>
          </cell>
          <cell r="O2">
            <v>2.3783000000000003</v>
          </cell>
          <cell r="P2">
            <v>839064.97522000002</v>
          </cell>
          <cell r="Q2">
            <v>849610.82859000005</v>
          </cell>
          <cell r="R2">
            <v>-25081.203069871066</v>
          </cell>
        </row>
        <row r="3">
          <cell r="A3" t="str">
            <v>AFZ03</v>
          </cell>
          <cell r="B3" t="str">
            <v>Aberdeen Emerging Opportunities</v>
          </cell>
          <cell r="C3" t="str">
            <v>Equity - Global</v>
          </cell>
          <cell r="E3" t="str">
            <v>AFZ03</v>
          </cell>
          <cell r="F3" t="str">
            <v>1.50%</v>
          </cell>
          <cell r="G3">
            <v>41883</v>
          </cell>
          <cell r="H3">
            <v>5274227.2344951937</v>
          </cell>
          <cell r="I3">
            <v>414376.87</v>
          </cell>
          <cell r="J3" t="str">
            <v>Aberdeen</v>
          </cell>
          <cell r="K3">
            <v>11</v>
          </cell>
          <cell r="L3">
            <v>5415285.6631492097</v>
          </cell>
          <cell r="M3">
            <v>5415285.6631492097</v>
          </cell>
          <cell r="N3">
            <v>-141058.428654016</v>
          </cell>
          <cell r="O3">
            <v>2.3624000000000001</v>
          </cell>
          <cell r="P3">
            <v>2232571.6366809998</v>
          </cell>
          <cell r="Q3">
            <v>2236335.1902330001</v>
          </cell>
          <cell r="R3">
            <v>-8891.01891124555</v>
          </cell>
        </row>
        <row r="4">
          <cell r="A4" t="str">
            <v>AFZ04</v>
          </cell>
          <cell r="B4" t="str">
            <v>Aberdeen International Equity</v>
          </cell>
          <cell r="C4" t="str">
            <v>Equity - Global</v>
          </cell>
          <cell r="E4" t="str">
            <v>AFZ04</v>
          </cell>
          <cell r="F4" t="str">
            <v>0.98%</v>
          </cell>
          <cell r="G4">
            <v>41883</v>
          </cell>
          <cell r="H4">
            <v>967455.19159103115</v>
          </cell>
          <cell r="I4">
            <v>54421.29</v>
          </cell>
          <cell r="J4" t="str">
            <v>Aberdeen</v>
          </cell>
          <cell r="K4">
            <v>1</v>
          </cell>
          <cell r="L4">
            <v>1002618.149293162</v>
          </cell>
          <cell r="M4">
            <v>1002618.149293162</v>
          </cell>
          <cell r="N4">
            <v>-35162.957702130894</v>
          </cell>
          <cell r="O4">
            <v>0.78870000000000007</v>
          </cell>
          <cell r="P4">
            <v>1226645.35513</v>
          </cell>
          <cell r="Q4">
            <v>1297048.0585940001</v>
          </cell>
          <cell r="R4">
            <v>-55526.612222056821</v>
          </cell>
        </row>
        <row r="5">
          <cell r="A5" t="str">
            <v>AFZ16</v>
          </cell>
          <cell r="B5" t="str">
            <v>Aberdeen Multi-Asset Income Fund</v>
          </cell>
          <cell r="C5" t="str">
            <v>Mixed</v>
          </cell>
          <cell r="E5" t="str">
            <v>AFZ16</v>
          </cell>
          <cell r="F5" t="str">
            <v>0.72%</v>
          </cell>
          <cell r="G5">
            <v>42828</v>
          </cell>
          <cell r="H5">
            <v>366279.12367200002</v>
          </cell>
          <cell r="I5">
            <v>65284.549999999996</v>
          </cell>
          <cell r="J5" t="str">
            <v>Aberdeen</v>
          </cell>
          <cell r="K5">
            <v>4</v>
          </cell>
          <cell r="L5">
            <v>428622.97062200005</v>
          </cell>
          <cell r="M5">
            <v>428622.97062200005</v>
          </cell>
          <cell r="N5">
            <v>-62343.846950000036</v>
          </cell>
          <cell r="O5">
            <v>1.0559000000000001</v>
          </cell>
          <cell r="P5">
            <v>346888.08</v>
          </cell>
          <cell r="Q5">
            <v>408874.34</v>
          </cell>
          <cell r="R5">
            <v>-65451.291934000015</v>
          </cell>
        </row>
        <row r="6">
          <cell r="A6" t="str">
            <v>AFZ18</v>
          </cell>
          <cell r="B6" t="str">
            <v>Aberdeen Actively Hedged International Equities Fund</v>
          </cell>
          <cell r="C6" t="str">
            <v>Equity - Global</v>
          </cell>
          <cell r="E6" t="str">
            <v>AFZ18</v>
          </cell>
          <cell r="F6" t="str">
            <v>0.98%</v>
          </cell>
          <cell r="G6">
            <v>41995</v>
          </cell>
          <cell r="H6">
            <v>1245035.990181</v>
          </cell>
          <cell r="I6" t="str">
            <v>0</v>
          </cell>
          <cell r="J6" t="str">
            <v>Aberdeen</v>
          </cell>
          <cell r="K6" t="str">
            <v>0</v>
          </cell>
          <cell r="L6">
            <v>1221220.649826</v>
          </cell>
          <cell r="M6">
            <v>1221220.649826</v>
          </cell>
          <cell r="N6">
            <v>23815.340354999993</v>
          </cell>
          <cell r="O6">
            <v>3.3197000000000001</v>
          </cell>
          <cell r="P6">
            <v>375044.73</v>
          </cell>
          <cell r="Q6">
            <v>375044.73</v>
          </cell>
          <cell r="R6">
            <v>0</v>
          </cell>
        </row>
        <row r="7">
          <cell r="A7" t="str">
            <v>AFZ19</v>
          </cell>
          <cell r="B7" t="str">
            <v>Aberdeen Ex-20 Australian Equities Fund</v>
          </cell>
          <cell r="C7" t="str">
            <v>Equity - Australia</v>
          </cell>
          <cell r="E7" t="str">
            <v>AFZ19</v>
          </cell>
          <cell r="F7" t="str">
            <v>0.95%</v>
          </cell>
          <cell r="G7">
            <v>41995</v>
          </cell>
          <cell r="H7">
            <v>1409346.88384</v>
          </cell>
          <cell r="I7">
            <v>140000</v>
          </cell>
          <cell r="J7" t="str">
            <v>Aberdeen</v>
          </cell>
          <cell r="K7">
            <v>3</v>
          </cell>
          <cell r="L7">
            <v>1233404.8556340002</v>
          </cell>
          <cell r="M7">
            <v>1233404.8556340002</v>
          </cell>
          <cell r="N7">
            <v>175942.02820599987</v>
          </cell>
          <cell r="O7">
            <v>4.1440000000000001</v>
          </cell>
          <cell r="P7">
            <v>340093.36</v>
          </cell>
          <cell r="Q7">
            <v>305744.74</v>
          </cell>
          <cell r="R7">
            <v>142340.68127999999</v>
          </cell>
        </row>
        <row r="8">
          <cell r="A8" t="str">
            <v>AFZ20</v>
          </cell>
          <cell r="B8" t="str">
            <v>Aberdeen Australian Small Companies Fund</v>
          </cell>
          <cell r="C8" t="str">
            <v>Equity - Australia</v>
          </cell>
          <cell r="E8" t="str">
            <v>AFZ20</v>
          </cell>
          <cell r="F8" t="str">
            <v>1.26%</v>
          </cell>
          <cell r="G8">
            <v>41995</v>
          </cell>
          <cell r="H8">
            <v>6425982.6792120002</v>
          </cell>
          <cell r="I8">
            <v>235830.53</v>
          </cell>
          <cell r="J8" t="str">
            <v>Aberdeen</v>
          </cell>
          <cell r="K8">
            <v>9</v>
          </cell>
          <cell r="L8">
            <v>6286574.2579709999</v>
          </cell>
          <cell r="M8">
            <v>6286574.2579709999</v>
          </cell>
          <cell r="N8">
            <v>139408.42124100029</v>
          </cell>
          <cell r="O8">
            <v>3.3172000000000001</v>
          </cell>
          <cell r="P8">
            <v>1937170.71</v>
          </cell>
          <cell r="Q8">
            <v>1930588.17</v>
          </cell>
          <cell r="R8">
            <v>21835.601688000126</v>
          </cell>
        </row>
        <row r="9">
          <cell r="A9" t="str">
            <v>AFZ21</v>
          </cell>
          <cell r="B9" t="str">
            <v>Aberdeen Australian Fixed Income Fund</v>
          </cell>
          <cell r="C9" t="str">
            <v>Fixed Income - Australia</v>
          </cell>
          <cell r="E9" t="str">
            <v>AFZ21</v>
          </cell>
          <cell r="F9" t="str">
            <v>0.51%</v>
          </cell>
          <cell r="G9">
            <v>41995</v>
          </cell>
          <cell r="H9">
            <v>1723415.0144679998</v>
          </cell>
          <cell r="I9">
            <v>133122.53</v>
          </cell>
          <cell r="J9" t="str">
            <v>Aberdeen</v>
          </cell>
          <cell r="K9">
            <v>2</v>
          </cell>
          <cell r="L9">
            <v>1850784.4786199997</v>
          </cell>
          <cell r="M9">
            <v>1850784.4786199997</v>
          </cell>
          <cell r="N9">
            <v>-127369.46415199991</v>
          </cell>
          <cell r="O9">
            <v>1.1643999999999999</v>
          </cell>
          <cell r="P9">
            <v>1480088.47</v>
          </cell>
          <cell r="Q9">
            <v>1594816.44</v>
          </cell>
          <cell r="R9">
            <v>-133589.24826799997</v>
          </cell>
        </row>
        <row r="10">
          <cell r="A10" t="str">
            <v>AFZ25</v>
          </cell>
          <cell r="B10" t="str">
            <v>Aberdeen Active Index Income Fund</v>
          </cell>
          <cell r="C10" t="str">
            <v>Fixed Income - Australia</v>
          </cell>
          <cell r="E10" t="str">
            <v>AFZ25</v>
          </cell>
          <cell r="F10" t="str">
            <v>0.20%</v>
          </cell>
          <cell r="G10">
            <v>42838</v>
          </cell>
          <cell r="H10">
            <v>253917.85762999998</v>
          </cell>
          <cell r="I10" t="str">
            <v>0</v>
          </cell>
          <cell r="J10" t="str">
            <v>Aberdeen</v>
          </cell>
          <cell r="K10" t="str">
            <v>0</v>
          </cell>
          <cell r="L10">
            <v>253268.38745800001</v>
          </cell>
          <cell r="M10">
            <v>253268.38745800001</v>
          </cell>
          <cell r="N10">
            <v>649.47017199997208</v>
          </cell>
          <cell r="O10">
            <v>1.0165</v>
          </cell>
          <cell r="P10">
            <v>249796.22</v>
          </cell>
          <cell r="Q10">
            <v>249796.22</v>
          </cell>
          <cell r="R10">
            <v>0</v>
          </cell>
        </row>
        <row r="11">
          <cell r="A11" t="str">
            <v>AFZ29</v>
          </cell>
          <cell r="B11" t="str">
            <v>Aberdeen Diversified Fixed Income</v>
          </cell>
          <cell r="C11" t="str">
            <v>Fixed Income - Global</v>
          </cell>
          <cell r="E11" t="str">
            <v>AFZ29</v>
          </cell>
          <cell r="F11" t="str">
            <v>0.45%</v>
          </cell>
          <cell r="G11">
            <v>41883</v>
          </cell>
          <cell r="H11">
            <v>758507.80367199995</v>
          </cell>
          <cell r="I11">
            <v>40903.19</v>
          </cell>
          <cell r="J11" t="str">
            <v>Aberdeen</v>
          </cell>
          <cell r="K11">
            <v>2</v>
          </cell>
          <cell r="L11">
            <v>798720.45497199998</v>
          </cell>
          <cell r="M11">
            <v>798720.45497199998</v>
          </cell>
          <cell r="N11">
            <v>-40212.651300000027</v>
          </cell>
          <cell r="O11">
            <v>0.94579999999999997</v>
          </cell>
          <cell r="P11">
            <v>801974.84</v>
          </cell>
          <cell r="Q11">
            <v>845296.28</v>
          </cell>
          <cell r="R11">
            <v>-40973.417952000054</v>
          </cell>
        </row>
        <row r="12">
          <cell r="A12" t="str">
            <v>AFZ30</v>
          </cell>
          <cell r="B12" t="str">
            <v>Aberdeen Fully Hedged International Equities</v>
          </cell>
          <cell r="C12" t="str">
            <v>Equity - Global</v>
          </cell>
          <cell r="E12" t="str">
            <v>AFZ30</v>
          </cell>
          <cell r="F12" t="str">
            <v>0.99%</v>
          </cell>
          <cell r="G12">
            <v>41883</v>
          </cell>
          <cell r="H12">
            <v>498247.97786099999</v>
          </cell>
          <cell r="I12" t="str">
            <v>0</v>
          </cell>
          <cell r="J12" t="str">
            <v>Aberdeen</v>
          </cell>
          <cell r="K12" t="str">
            <v>0</v>
          </cell>
          <cell r="L12">
            <v>498727.70824599994</v>
          </cell>
          <cell r="M12">
            <v>498727.70824599994</v>
          </cell>
          <cell r="N12">
            <v>-479.73038499994436</v>
          </cell>
          <cell r="O12">
            <v>0.51929999999999998</v>
          </cell>
          <cell r="P12">
            <v>959460.77</v>
          </cell>
          <cell r="Q12">
            <v>959460.77</v>
          </cell>
          <cell r="R12">
            <v>0</v>
          </cell>
        </row>
        <row r="13">
          <cell r="A13" t="str">
            <v>AFZ32</v>
          </cell>
          <cell r="B13" t="str">
            <v>Aberdeen Multi-Asset Real Return Fund</v>
          </cell>
          <cell r="C13" t="str">
            <v>Mixed</v>
          </cell>
          <cell r="E13" t="str">
            <v>AFZ32</v>
          </cell>
          <cell r="F13" t="str">
            <v>0.84%</v>
          </cell>
          <cell r="G13">
            <v>42828</v>
          </cell>
          <cell r="H13">
            <v>1784159.4724800002</v>
          </cell>
          <cell r="I13" t="str">
            <v>0</v>
          </cell>
          <cell r="J13" t="str">
            <v>Aberdeen</v>
          </cell>
          <cell r="K13" t="str">
            <v>0</v>
          </cell>
          <cell r="L13">
            <v>1775414.0638080002</v>
          </cell>
          <cell r="M13">
            <v>1775414.0638080002</v>
          </cell>
          <cell r="N13">
            <v>8745.4086720000487</v>
          </cell>
          <cell r="O13">
            <v>1.8565</v>
          </cell>
          <cell r="P13">
            <v>961033.92000000016</v>
          </cell>
          <cell r="Q13">
            <v>961033.92</v>
          </cell>
          <cell r="R13">
            <v>2.1612504497170449E-10</v>
          </cell>
        </row>
        <row r="14">
          <cell r="A14" t="str">
            <v>AFM01</v>
          </cell>
          <cell r="B14" t="str">
            <v>Atlas High Income Property Fund</v>
          </cell>
          <cell r="C14" t="str">
            <v>Property - Australia</v>
          </cell>
          <cell r="E14" t="str">
            <v>AFM01</v>
          </cell>
          <cell r="F14" t="str">
            <v>0.95%</v>
          </cell>
          <cell r="G14">
            <v>42912</v>
          </cell>
          <cell r="H14">
            <v>2294939.2082540002</v>
          </cell>
          <cell r="I14" t="str">
            <v>0</v>
          </cell>
          <cell r="J14" t="str">
            <v>Atlas</v>
          </cell>
          <cell r="K14" t="str">
            <v>0</v>
          </cell>
          <cell r="L14">
            <v>2262784.2978019998</v>
          </cell>
          <cell r="M14">
            <v>2262784.2978019998</v>
          </cell>
          <cell r="N14">
            <v>32154.910452000331</v>
          </cell>
          <cell r="O14">
            <v>2.4409000000000001</v>
          </cell>
          <cell r="P14">
            <v>940202.06</v>
          </cell>
          <cell r="Q14">
            <v>940202.05999999994</v>
          </cell>
          <cell r="R14">
            <v>2.841581590473652E-10</v>
          </cell>
        </row>
        <row r="15">
          <cell r="A15" t="str">
            <v>AQY01</v>
          </cell>
          <cell r="B15" t="str">
            <v>Allan Gray Australia Equity Fund</v>
          </cell>
          <cell r="C15" t="str">
            <v>Equity - Australia</v>
          </cell>
          <cell r="E15" t="str">
            <v>AQY01</v>
          </cell>
          <cell r="F15" t="str">
            <v>0.77%</v>
          </cell>
          <cell r="G15">
            <v>41869</v>
          </cell>
          <cell r="H15">
            <v>25687887.426416699</v>
          </cell>
          <cell r="I15">
            <v>1621721.72</v>
          </cell>
          <cell r="J15" t="str">
            <v>Allan Gray</v>
          </cell>
          <cell r="K15">
            <v>43</v>
          </cell>
          <cell r="L15">
            <v>24175221.6159917</v>
          </cell>
          <cell r="M15">
            <v>24175221.6159917</v>
          </cell>
          <cell r="N15">
            <v>1512665.8104249984</v>
          </cell>
          <cell r="O15">
            <v>1.8103</v>
          </cell>
          <cell r="P15">
            <v>14189851.089</v>
          </cell>
          <cell r="Q15">
            <v>13690028.663000001</v>
          </cell>
          <cell r="R15">
            <v>904828.53778779833</v>
          </cell>
        </row>
        <row r="16">
          <cell r="A16" t="str">
            <v>AQY02</v>
          </cell>
          <cell r="B16" t="str">
            <v>Allan Gray Australia Stable Fund</v>
          </cell>
          <cell r="C16" t="str">
            <v>Mixed</v>
          </cell>
          <cell r="E16" t="str">
            <v>AQY02</v>
          </cell>
          <cell r="F16" t="str">
            <v>0.26%</v>
          </cell>
          <cell r="G16">
            <v>41869</v>
          </cell>
          <cell r="H16">
            <v>8461144.3728383984</v>
          </cell>
          <cell r="I16">
            <v>892606.65</v>
          </cell>
          <cell r="J16" t="str">
            <v>Allan Gray</v>
          </cell>
          <cell r="K16">
            <v>15</v>
          </cell>
          <cell r="L16">
            <v>7684275.9374436</v>
          </cell>
          <cell r="M16">
            <v>7684275.9374436</v>
          </cell>
          <cell r="N16">
            <v>776868.43539479841</v>
          </cell>
          <cell r="O16">
            <v>1.2287999999999999</v>
          </cell>
          <cell r="P16">
            <v>6885696.9179999996</v>
          </cell>
          <cell r="Q16">
            <v>6302202.852</v>
          </cell>
          <cell r="R16">
            <v>716997.50830079953</v>
          </cell>
        </row>
        <row r="17">
          <cell r="A17" t="str">
            <v>AQY03</v>
          </cell>
          <cell r="B17" t="str">
            <v>Allan Gray Australia Balanced Fund</v>
          </cell>
          <cell r="C17" t="str">
            <v>Mixed</v>
          </cell>
          <cell r="E17" t="str">
            <v>AQY03</v>
          </cell>
          <cell r="F17" t="str">
            <v>0.76%</v>
          </cell>
          <cell r="G17">
            <v>42900</v>
          </cell>
          <cell r="H17">
            <v>518939.80025799997</v>
          </cell>
          <cell r="I17">
            <v>10000</v>
          </cell>
          <cell r="J17" t="str">
            <v>Allan Gray</v>
          </cell>
          <cell r="K17">
            <v>1</v>
          </cell>
          <cell r="L17">
            <v>501749.79413779994</v>
          </cell>
          <cell r="M17">
            <v>501749.79413779994</v>
          </cell>
          <cell r="N17">
            <v>17190.006120200036</v>
          </cell>
          <cell r="O17">
            <v>1.1659999999999999</v>
          </cell>
          <cell r="P17">
            <v>445059.86300000001</v>
          </cell>
          <cell r="Q17">
            <v>436380.06099999999</v>
          </cell>
          <cell r="R17">
            <v>10120.64913200003</v>
          </cell>
        </row>
        <row r="18">
          <cell r="A18" t="str">
            <v>IWM01</v>
          </cell>
          <cell r="B18" t="str">
            <v>Alpha Diversified Income Fund</v>
          </cell>
          <cell r="C18" t="str">
            <v>Fixed Income - Global</v>
          </cell>
          <cell r="E18" t="str">
            <v>IWM01</v>
          </cell>
          <cell r="F18" t="str">
            <v>0.34%</v>
          </cell>
          <cell r="G18">
            <v>41767</v>
          </cell>
          <cell r="H18">
            <v>59507.475792329999</v>
          </cell>
          <cell r="I18" t="str">
            <v>0</v>
          </cell>
          <cell r="J18" t="str">
            <v>Alpha</v>
          </cell>
          <cell r="K18" t="str">
            <v>0</v>
          </cell>
          <cell r="L18">
            <v>59184.98971798001</v>
          </cell>
          <cell r="M18">
            <v>59184.98971798001</v>
          </cell>
          <cell r="N18">
            <v>322.48607434998848</v>
          </cell>
          <cell r="O18">
            <v>1.0148999999999999</v>
          </cell>
          <cell r="P18">
            <v>58633.831700000002</v>
          </cell>
          <cell r="Q18">
            <v>58633.831700000002</v>
          </cell>
          <cell r="R18">
            <v>0</v>
          </cell>
        </row>
        <row r="19">
          <cell r="A19" t="str">
            <v>IWM02</v>
          </cell>
          <cell r="B19" t="str">
            <v>Alpha Infrastructure Fund</v>
          </cell>
          <cell r="C19" t="str">
            <v>Infrastructure</v>
          </cell>
          <cell r="E19" t="str">
            <v>IWM02</v>
          </cell>
          <cell r="F19" t="str">
            <v>0.29%</v>
          </cell>
          <cell r="G19">
            <v>41767</v>
          </cell>
          <cell r="H19">
            <v>26929.194989939999</v>
          </cell>
          <cell r="I19" t="str">
            <v>0</v>
          </cell>
          <cell r="J19" t="str">
            <v>Alpha</v>
          </cell>
          <cell r="K19" t="str">
            <v>0</v>
          </cell>
          <cell r="L19">
            <v>26106.096441239995</v>
          </cell>
          <cell r="M19">
            <v>26106.096441239995</v>
          </cell>
          <cell r="N19">
            <v>823.09854870000345</v>
          </cell>
          <cell r="O19">
            <v>1.4559</v>
          </cell>
          <cell r="P19">
            <v>18496.596600000001</v>
          </cell>
          <cell r="Q19">
            <v>18496.596600000001</v>
          </cell>
          <cell r="R19">
            <v>0</v>
          </cell>
        </row>
        <row r="20">
          <cell r="A20" t="str">
            <v>IWM03</v>
          </cell>
          <cell r="B20" t="str">
            <v>Alpha Australian Blue Chip Fund</v>
          </cell>
          <cell r="C20" t="str">
            <v>Equity - Australia</v>
          </cell>
          <cell r="E20" t="str">
            <v>IWM03</v>
          </cell>
          <cell r="F20" t="str">
            <v>0.51%</v>
          </cell>
          <cell r="G20">
            <v>41767</v>
          </cell>
          <cell r="H20">
            <v>193973.41012586001</v>
          </cell>
          <cell r="I20" t="str">
            <v>0</v>
          </cell>
          <cell r="J20" t="str">
            <v>Alpha</v>
          </cell>
          <cell r="K20" t="str">
            <v>0</v>
          </cell>
          <cell r="L20">
            <v>187553.00606178</v>
          </cell>
          <cell r="M20">
            <v>187553.00606178</v>
          </cell>
          <cell r="N20">
            <v>6420.4040640800085</v>
          </cell>
          <cell r="O20">
            <v>0.95469999999999999</v>
          </cell>
          <cell r="P20">
            <v>203177.3438</v>
          </cell>
          <cell r="Q20">
            <v>203177.3438</v>
          </cell>
          <cell r="R20">
            <v>0</v>
          </cell>
        </row>
        <row r="21">
          <cell r="A21" t="str">
            <v>IWM04</v>
          </cell>
          <cell r="B21" t="str">
            <v>Alpha Property Securities Fund</v>
          </cell>
          <cell r="C21" t="str">
            <v>Property - Global</v>
          </cell>
          <cell r="E21" t="str">
            <v>IWM04</v>
          </cell>
          <cell r="F21" t="str">
            <v>0.58%</v>
          </cell>
          <cell r="G21">
            <v>41767</v>
          </cell>
          <cell r="H21">
            <v>26165.59444357</v>
          </cell>
          <cell r="I21" t="str">
            <v>0</v>
          </cell>
          <cell r="J21" t="str">
            <v>Alpha</v>
          </cell>
          <cell r="K21" t="str">
            <v>0</v>
          </cell>
          <cell r="L21">
            <v>25337.804394249997</v>
          </cell>
          <cell r="M21">
            <v>25337.804394249997</v>
          </cell>
          <cell r="N21">
            <v>827.79004932000316</v>
          </cell>
          <cell r="O21">
            <v>0.49310000000000004</v>
          </cell>
          <cell r="P21">
            <v>53063.464699999997</v>
          </cell>
          <cell r="Q21">
            <v>53063.464699999997</v>
          </cell>
          <cell r="R21">
            <v>0</v>
          </cell>
        </row>
        <row r="22">
          <cell r="A22" t="str">
            <v>IWM05</v>
          </cell>
          <cell r="B22" t="str">
            <v>Alpha Enhanced Yield Fund</v>
          </cell>
          <cell r="C22" t="str">
            <v>Fixed Income - Australia</v>
          </cell>
          <cell r="E22" t="str">
            <v>IWM05</v>
          </cell>
          <cell r="F22" t="str">
            <v>0.34%</v>
          </cell>
          <cell r="G22">
            <v>41767</v>
          </cell>
          <cell r="H22">
            <v>98952.46674774999</v>
          </cell>
          <cell r="I22" t="str">
            <v>0</v>
          </cell>
          <cell r="J22" t="str">
            <v>Alpha</v>
          </cell>
          <cell r="K22" t="str">
            <v>0</v>
          </cell>
          <cell r="L22">
            <v>99312.908288549996</v>
          </cell>
          <cell r="M22">
            <v>99312.908288549996</v>
          </cell>
          <cell r="N22">
            <v>-360.4415408000059</v>
          </cell>
          <cell r="O22">
            <v>0.87849999999999995</v>
          </cell>
          <cell r="P22">
            <v>112637.98149999999</v>
          </cell>
          <cell r="Q22">
            <v>112637.98149999999</v>
          </cell>
          <cell r="R22">
            <v>0</v>
          </cell>
        </row>
        <row r="23">
          <cell r="A23" t="str">
            <v>IWM06</v>
          </cell>
          <cell r="B23" t="str">
            <v>Alpha Global Opportunities Fund</v>
          </cell>
          <cell r="C23" t="str">
            <v>Equity - Global</v>
          </cell>
          <cell r="E23" t="str">
            <v>IWM06</v>
          </cell>
          <cell r="F23" t="str">
            <v>0.75%</v>
          </cell>
          <cell r="G23">
            <v>42359</v>
          </cell>
          <cell r="H23">
            <v>29257.197506500001</v>
          </cell>
          <cell r="I23" t="str">
            <v>0</v>
          </cell>
          <cell r="J23" t="str">
            <v>Alpha</v>
          </cell>
          <cell r="K23" t="str">
            <v>0</v>
          </cell>
          <cell r="L23">
            <v>28941.483379400001</v>
          </cell>
          <cell r="M23">
            <v>28941.483379400001</v>
          </cell>
          <cell r="N23">
            <v>315.71412710000004</v>
          </cell>
          <cell r="O23">
            <v>0.95450000000000002</v>
          </cell>
          <cell r="P23">
            <v>30651.857</v>
          </cell>
          <cell r="Q23">
            <v>30651.857</v>
          </cell>
          <cell r="R23">
            <v>0</v>
          </cell>
        </row>
        <row r="24">
          <cell r="A24" t="str">
            <v>IWM07</v>
          </cell>
          <cell r="B24" t="str">
            <v>Alpha Australian Small Companies</v>
          </cell>
          <cell r="C24" t="str">
            <v>Equity - Australia</v>
          </cell>
          <cell r="E24" t="str">
            <v>IWM07</v>
          </cell>
          <cell r="F24" t="str">
            <v>0.50%</v>
          </cell>
          <cell r="G24">
            <v>42359</v>
          </cell>
          <cell r="H24">
            <v>41311.531877940004</v>
          </cell>
          <cell r="I24" t="str">
            <v>0</v>
          </cell>
          <cell r="J24" t="str">
            <v>Alpha</v>
          </cell>
          <cell r="K24" t="str">
            <v>0</v>
          </cell>
          <cell r="L24">
            <v>40774.083676020004</v>
          </cell>
          <cell r="M24">
            <v>40774.083676020004</v>
          </cell>
          <cell r="N24">
            <v>537.44820192000043</v>
          </cell>
          <cell r="O24">
            <v>0.8609</v>
          </cell>
          <cell r="P24">
            <v>47986.446600000003</v>
          </cell>
          <cell r="Q24">
            <v>47986.446600000003</v>
          </cell>
          <cell r="R24">
            <v>0</v>
          </cell>
        </row>
        <row r="25">
          <cell r="A25" t="str">
            <v>ALH01</v>
          </cell>
          <cell r="B25" t="str">
            <v>Alphinity Wholesale Australian Share Fund</v>
          </cell>
          <cell r="C25" t="str">
            <v>Equity - Australia</v>
          </cell>
          <cell r="D25" t="str">
            <v>S&amp;P/ASX 300 Accumulation Index</v>
          </cell>
          <cell r="E25" t="str">
            <v>ALH01</v>
          </cell>
          <cell r="F25" t="str">
            <v>0.90%</v>
          </cell>
          <cell r="G25">
            <v>42660</v>
          </cell>
          <cell r="H25">
            <v>22598.428639580001</v>
          </cell>
          <cell r="I25" t="str">
            <v>0</v>
          </cell>
          <cell r="J25" t="str">
            <v>Alphinity</v>
          </cell>
          <cell r="K25" t="str">
            <v>0</v>
          </cell>
          <cell r="L25">
            <v>21815.976707219997</v>
          </cell>
          <cell r="M25">
            <v>21815.976707219997</v>
          </cell>
          <cell r="N25">
            <v>782.45193236000341</v>
          </cell>
          <cell r="O25">
            <v>3.1943000000000001</v>
          </cell>
          <cell r="P25">
            <v>7074.6106</v>
          </cell>
          <cell r="Q25">
            <v>7074.6105999999991</v>
          </cell>
          <cell r="R25">
            <v>2.9051989258732648E-12</v>
          </cell>
        </row>
        <row r="26">
          <cell r="A26" t="str">
            <v>ALH02</v>
          </cell>
          <cell r="B26" t="str">
            <v>Alphinity Wholesale Concentrated Australian Share Fund</v>
          </cell>
          <cell r="C26" t="str">
            <v>Equity - Australia</v>
          </cell>
          <cell r="D26" t="str">
            <v>S&amp;P/ASX 200 Accumulation Index</v>
          </cell>
          <cell r="E26" t="str">
            <v>ALH02</v>
          </cell>
          <cell r="F26" t="str">
            <v>0.90%</v>
          </cell>
          <cell r="G26">
            <v>42660</v>
          </cell>
          <cell r="H26">
            <v>122042.06679288</v>
          </cell>
          <cell r="I26">
            <v>10000</v>
          </cell>
          <cell r="J26" t="str">
            <v>Alphinity</v>
          </cell>
          <cell r="K26">
            <v>1</v>
          </cell>
          <cell r="L26">
            <v>108235.19605705999</v>
          </cell>
          <cell r="M26">
            <v>108235.19605705999</v>
          </cell>
          <cell r="N26">
            <v>13806.870735820004</v>
          </cell>
          <cell r="O26">
            <v>1.3624000000000001</v>
          </cell>
          <cell r="P26">
            <v>89578.733699999997</v>
          </cell>
          <cell r="Q26">
            <v>82102.098199999993</v>
          </cell>
          <cell r="R26">
            <v>10186.168205200005</v>
          </cell>
        </row>
        <row r="27">
          <cell r="A27" t="str">
            <v>ALH03</v>
          </cell>
          <cell r="B27" t="str">
            <v>Alphinity Wholesale Socially Responsible Share Fund</v>
          </cell>
          <cell r="C27" t="str">
            <v>Equity - Australia</v>
          </cell>
          <cell r="D27" t="str">
            <v>S&amp;P/ASX 300 Accumulation Index</v>
          </cell>
          <cell r="E27" t="str">
            <v>ALH03</v>
          </cell>
          <cell r="F27" t="str">
            <v>0.95%</v>
          </cell>
          <cell r="G27">
            <v>42660</v>
          </cell>
          <cell r="H27">
            <v>0</v>
          </cell>
          <cell r="I27" t="str">
            <v>0</v>
          </cell>
          <cell r="J27" t="str">
            <v>Alphinity</v>
          </cell>
          <cell r="K27" t="str">
            <v>0</v>
          </cell>
          <cell r="L27">
            <v>0</v>
          </cell>
          <cell r="M27">
            <v>0</v>
          </cell>
          <cell r="N27">
            <v>0</v>
          </cell>
          <cell r="O27">
            <v>1.6903999999999999</v>
          </cell>
          <cell r="P27">
            <v>0</v>
          </cell>
          <cell r="Q27">
            <v>0</v>
          </cell>
          <cell r="R27">
            <v>0</v>
          </cell>
        </row>
        <row r="28">
          <cell r="A28" t="str">
            <v>AGA01</v>
          </cell>
          <cell r="B28" t="str">
            <v>Altrinsic Global Equities Trust</v>
          </cell>
          <cell r="C28" t="str">
            <v>Equity - Global</v>
          </cell>
          <cell r="E28" t="str">
            <v>AGA01</v>
          </cell>
          <cell r="F28" t="str">
            <v>1.25%</v>
          </cell>
          <cell r="G28">
            <v>42359</v>
          </cell>
          <cell r="H28">
            <v>429917.61422522878</v>
          </cell>
          <cell r="I28" t="str">
            <v>0</v>
          </cell>
          <cell r="J28" t="str">
            <v>Altrinsic</v>
          </cell>
          <cell r="K28" t="str">
            <v>0</v>
          </cell>
          <cell r="L28">
            <v>419477.07818038441</v>
          </cell>
          <cell r="M28">
            <v>419477.07818038441</v>
          </cell>
          <cell r="N28">
            <v>10440.536044844368</v>
          </cell>
          <cell r="O28">
            <v>1.603008</v>
          </cell>
          <cell r="P28">
            <v>268194.30359999998</v>
          </cell>
          <cell r="Q28">
            <v>268194.30359999998</v>
          </cell>
          <cell r="R28">
            <v>0</v>
          </cell>
        </row>
        <row r="29">
          <cell r="A29" t="str">
            <v>ACA01</v>
          </cell>
          <cell r="B29" t="str">
            <v>AMP Capital Australian Equity Income</v>
          </cell>
          <cell r="C29" t="str">
            <v>Equity - Australia</v>
          </cell>
          <cell r="E29" t="str">
            <v>ACA01</v>
          </cell>
          <cell r="F29" t="str">
            <v>0.90%</v>
          </cell>
          <cell r="G29">
            <v>41981</v>
          </cell>
          <cell r="H29">
            <v>1007063.347983</v>
          </cell>
          <cell r="I29">
            <v>72218.73</v>
          </cell>
          <cell r="J29" t="str">
            <v>AMP Capital</v>
          </cell>
          <cell r="K29">
            <v>8</v>
          </cell>
          <cell r="L29">
            <v>913058.74070750002</v>
          </cell>
          <cell r="M29">
            <v>913058.74070750002</v>
          </cell>
          <cell r="N29">
            <v>94004.607275499962</v>
          </cell>
          <cell r="O29">
            <v>0.96566999999999992</v>
          </cell>
          <cell r="P29">
            <v>1042864.9</v>
          </cell>
          <cell r="Q29">
            <v>966250.85</v>
          </cell>
          <cell r="R29">
            <v>73983.889663500042</v>
          </cell>
        </row>
        <row r="30">
          <cell r="A30" t="str">
            <v>ACA02</v>
          </cell>
          <cell r="B30" t="str">
            <v>AMP Capital Corporate Bond</v>
          </cell>
          <cell r="C30" t="str">
            <v>Fixed Income - Australia</v>
          </cell>
          <cell r="E30" t="str">
            <v>ACA02</v>
          </cell>
          <cell r="F30" t="str">
            <v>0.60%</v>
          </cell>
          <cell r="G30">
            <v>41981</v>
          </cell>
          <cell r="H30">
            <v>11192675.2011203</v>
          </cell>
          <cell r="I30">
            <v>750124.95</v>
          </cell>
          <cell r="J30" t="str">
            <v>AMP Capital</v>
          </cell>
          <cell r="K30">
            <v>29</v>
          </cell>
          <cell r="L30">
            <v>11125330.476012802</v>
          </cell>
          <cell r="M30">
            <v>11125330.476012802</v>
          </cell>
          <cell r="N30">
            <v>67344.725107498467</v>
          </cell>
          <cell r="O30">
            <v>0.96869000000000005</v>
          </cell>
          <cell r="P30">
            <v>11554444.869999999</v>
          </cell>
          <cell r="Q30">
            <v>11471068.48</v>
          </cell>
          <cell r="R30">
            <v>80765.875229098776</v>
          </cell>
        </row>
        <row r="31">
          <cell r="A31" t="str">
            <v>ACA03</v>
          </cell>
          <cell r="B31" t="str">
            <v>AMP Capital Global Infrastructure Securities Unhedged</v>
          </cell>
          <cell r="C31" t="str">
            <v>Infrastructure</v>
          </cell>
          <cell r="E31" t="str">
            <v>ACA03</v>
          </cell>
          <cell r="F31" t="str">
            <v>0.80%</v>
          </cell>
          <cell r="G31">
            <v>41981</v>
          </cell>
          <cell r="H31">
            <v>3035427.8785326001</v>
          </cell>
          <cell r="I31">
            <v>236281.05</v>
          </cell>
          <cell r="J31" t="str">
            <v>AMP Capital</v>
          </cell>
          <cell r="K31">
            <v>7</v>
          </cell>
          <cell r="L31">
            <v>2856818.8899236</v>
          </cell>
          <cell r="M31">
            <v>2856818.8899236</v>
          </cell>
          <cell r="N31">
            <v>178608.98860900011</v>
          </cell>
          <cell r="O31">
            <v>1.06209</v>
          </cell>
          <cell r="P31">
            <v>2857976.14</v>
          </cell>
          <cell r="Q31">
            <v>2850149.54</v>
          </cell>
          <cell r="R31">
            <v>8312.5535940000991</v>
          </cell>
        </row>
        <row r="32">
          <cell r="A32" t="str">
            <v>ACA04</v>
          </cell>
          <cell r="B32" t="str">
            <v>AMP Capital Global Property Securities</v>
          </cell>
          <cell r="C32" t="str">
            <v>Property - Global</v>
          </cell>
          <cell r="E32" t="str">
            <v>ACA04</v>
          </cell>
          <cell r="F32" t="str">
            <v>0.97%</v>
          </cell>
          <cell r="G32">
            <v>41981</v>
          </cell>
          <cell r="H32">
            <v>3348652.9132477003</v>
          </cell>
          <cell r="I32">
            <v>84564.340000000011</v>
          </cell>
          <cell r="J32" t="str">
            <v>AMP Capital</v>
          </cell>
          <cell r="K32">
            <v>4</v>
          </cell>
          <cell r="L32">
            <v>3288548.7465730002</v>
          </cell>
          <cell r="M32">
            <v>3288548.7465730002</v>
          </cell>
          <cell r="N32">
            <v>60104.1666747001</v>
          </cell>
          <cell r="O32">
            <v>1.11341</v>
          </cell>
          <cell r="P32">
            <v>3007564.97</v>
          </cell>
          <cell r="Q32">
            <v>3008323.42</v>
          </cell>
          <cell r="R32">
            <v>-844.46581449968892</v>
          </cell>
        </row>
        <row r="33">
          <cell r="A33" t="str">
            <v>ACA05</v>
          </cell>
          <cell r="B33" t="str">
            <v>AMP Capital Multi-Asset</v>
          </cell>
          <cell r="C33" t="str">
            <v>Mixed</v>
          </cell>
          <cell r="E33" t="str">
            <v>ACA05</v>
          </cell>
          <cell r="F33" t="str">
            <v>0.85%</v>
          </cell>
          <cell r="G33">
            <v>41981</v>
          </cell>
          <cell r="H33">
            <v>9040905.8006855994</v>
          </cell>
          <cell r="I33">
            <v>1177442.56</v>
          </cell>
          <cell r="J33" t="str">
            <v>AMP Capital</v>
          </cell>
          <cell r="K33">
            <v>18</v>
          </cell>
          <cell r="L33">
            <v>8015589.8748486005</v>
          </cell>
          <cell r="M33">
            <v>8015589.8748486005</v>
          </cell>
          <cell r="N33">
            <v>1025315.925836999</v>
          </cell>
          <cell r="O33">
            <v>1.0960799999999999</v>
          </cell>
          <cell r="P33">
            <v>8248399.5700000003</v>
          </cell>
          <cell r="Q33">
            <v>7314695.7300000004</v>
          </cell>
          <cell r="R33">
            <v>1023414.1049471998</v>
          </cell>
        </row>
        <row r="34">
          <cell r="A34" t="str">
            <v>ANT01</v>
          </cell>
          <cell r="B34" t="str">
            <v>Antares Income</v>
          </cell>
          <cell r="C34" t="str">
            <v>Fixed Income - Australia</v>
          </cell>
          <cell r="E34" t="str">
            <v>ANT01</v>
          </cell>
          <cell r="F34" t="str">
            <v>0.55%</v>
          </cell>
          <cell r="G34">
            <v>42359</v>
          </cell>
          <cell r="H34">
            <v>593558.03585540003</v>
          </cell>
          <cell r="I34" t="str">
            <v>0</v>
          </cell>
          <cell r="J34" t="str">
            <v>Antares</v>
          </cell>
          <cell r="K34" t="str">
            <v>0</v>
          </cell>
          <cell r="L34">
            <v>592616.97412665002</v>
          </cell>
          <cell r="M34">
            <v>592616.97412665002</v>
          </cell>
          <cell r="N34">
            <v>941.0617287500063</v>
          </cell>
          <cell r="O34">
            <v>1.02494</v>
          </cell>
          <cell r="P34">
            <v>579114.91</v>
          </cell>
          <cell r="Q34">
            <v>579114.91</v>
          </cell>
          <cell r="R34">
            <v>0</v>
          </cell>
        </row>
        <row r="35">
          <cell r="A35" t="str">
            <v>AGP01</v>
          </cell>
          <cell r="B35" t="str">
            <v>Antipodes Global Long Only</v>
          </cell>
          <cell r="C35" t="str">
            <v>Equity - Global</v>
          </cell>
          <cell r="E35" t="str">
            <v>AGP01</v>
          </cell>
          <cell r="F35" t="str">
            <v>1.20%</v>
          </cell>
          <cell r="G35">
            <v>42310</v>
          </cell>
          <cell r="H35">
            <v>5490829.6052992195</v>
          </cell>
          <cell r="I35">
            <v>379390.42999999993</v>
          </cell>
          <cell r="J35" t="str">
            <v>Antipodes</v>
          </cell>
          <cell r="K35">
            <v>8</v>
          </cell>
          <cell r="L35">
            <v>5591617.02470366</v>
          </cell>
          <cell r="M35">
            <v>5591617.02470366</v>
          </cell>
          <cell r="N35">
            <v>-100787.41940444056</v>
          </cell>
          <cell r="O35">
            <v>1.2590999999999999</v>
          </cell>
          <cell r="P35">
            <v>4360916.2142000003</v>
          </cell>
          <cell r="Q35">
            <v>4548618.7461999999</v>
          </cell>
          <cell r="R35">
            <v>-236336.25804119956</v>
          </cell>
        </row>
        <row r="36">
          <cell r="A36" t="str">
            <v>AGP02</v>
          </cell>
          <cell r="B36" t="str">
            <v>Antipodes Global Fund</v>
          </cell>
          <cell r="C36" t="str">
            <v>Equity - Global</v>
          </cell>
          <cell r="E36" t="str">
            <v>AGP02</v>
          </cell>
          <cell r="F36" t="str">
            <v>1.20%</v>
          </cell>
          <cell r="G36">
            <v>43007</v>
          </cell>
          <cell r="H36">
            <v>6427570.0143908495</v>
          </cell>
          <cell r="I36">
            <v>782176.97</v>
          </cell>
          <cell r="J36" t="str">
            <v>Antipodes</v>
          </cell>
          <cell r="K36">
            <v>22</v>
          </cell>
          <cell r="L36">
            <v>5355077.8682131199</v>
          </cell>
          <cell r="M36">
            <v>5355077.8682131199</v>
          </cell>
          <cell r="N36">
            <v>1072492.1461777296</v>
          </cell>
          <cell r="O36">
            <v>1.8065</v>
          </cell>
          <cell r="P36">
            <v>3558023.8108999999</v>
          </cell>
          <cell r="Q36">
            <v>3042485.0112000001</v>
          </cell>
          <cell r="R36">
            <v>931320.84165804973</v>
          </cell>
        </row>
        <row r="37">
          <cell r="A37" t="str">
            <v>APF01</v>
          </cell>
          <cell r="B37" t="str">
            <v>APN AREIT Fund</v>
          </cell>
          <cell r="C37" t="str">
            <v>Property - Australia</v>
          </cell>
          <cell r="E37" t="str">
            <v>APF01</v>
          </cell>
          <cell r="F37" t="str">
            <v>0.85%</v>
          </cell>
          <cell r="G37">
            <v>41757</v>
          </cell>
          <cell r="H37">
            <v>12222114.352451999</v>
          </cell>
          <cell r="I37">
            <v>813113.6100000008</v>
          </cell>
          <cell r="J37" t="str">
            <v>APN</v>
          </cell>
          <cell r="K37">
            <v>151</v>
          </cell>
          <cell r="L37">
            <v>12278514.410316</v>
          </cell>
          <cell r="M37">
            <v>12278514.410316</v>
          </cell>
          <cell r="N37">
            <v>-56400.057864001021</v>
          </cell>
          <cell r="O37">
            <v>1.7062999999999999</v>
          </cell>
          <cell r="P37">
            <v>7162934.0399999991</v>
          </cell>
          <cell r="Q37">
            <v>7342730.7800000003</v>
          </cell>
          <cell r="R37">
            <v>-306787.17746200197</v>
          </cell>
        </row>
        <row r="38">
          <cell r="A38" t="str">
            <v>APF02</v>
          </cell>
          <cell r="B38" t="str">
            <v>APN Asian REIT Fund</v>
          </cell>
          <cell r="C38" t="str">
            <v>Property - Global</v>
          </cell>
          <cell r="E38" t="str">
            <v>APF02</v>
          </cell>
          <cell r="F38" t="str">
            <v>0.98%</v>
          </cell>
          <cell r="G38">
            <v>41757</v>
          </cell>
          <cell r="H38">
            <v>5004229.8453980004</v>
          </cell>
          <cell r="I38">
            <v>109811.59</v>
          </cell>
          <cell r="J38" t="str">
            <v>APN</v>
          </cell>
          <cell r="K38">
            <v>45</v>
          </cell>
          <cell r="L38">
            <v>4754643.1324400008</v>
          </cell>
          <cell r="M38">
            <v>4754643.1324400008</v>
          </cell>
          <cell r="N38">
            <v>249586.71295799967</v>
          </cell>
          <cell r="O38">
            <v>1.6121000000000001</v>
          </cell>
          <cell r="P38">
            <v>3104168.38</v>
          </cell>
          <cell r="Q38">
            <v>2947701.88</v>
          </cell>
          <cell r="R38">
            <v>252239.64465</v>
          </cell>
        </row>
        <row r="39">
          <cell r="A39" t="str">
            <v>ACY01</v>
          </cell>
          <cell r="B39" t="str">
            <v>Armytage Australian Equity Income Fund</v>
          </cell>
          <cell r="C39" t="str">
            <v>Equity - Australia</v>
          </cell>
          <cell r="E39" t="str">
            <v>ACY01</v>
          </cell>
          <cell r="F39" t="str">
            <v>0.97%</v>
          </cell>
          <cell r="G39">
            <v>41766</v>
          </cell>
          <cell r="H39">
            <v>919995.66485880001</v>
          </cell>
          <cell r="I39">
            <v>182807.49</v>
          </cell>
          <cell r="J39" t="str">
            <v>Armytage</v>
          </cell>
          <cell r="K39">
            <v>2</v>
          </cell>
          <cell r="L39">
            <v>1073426.7119195201</v>
          </cell>
          <cell r="M39">
            <v>1073426.7119195201</v>
          </cell>
          <cell r="N39">
            <v>-153431.04706072004</v>
          </cell>
          <cell r="O39">
            <v>0.85829999999999995</v>
          </cell>
          <cell r="P39">
            <v>1071881.236</v>
          </cell>
          <cell r="Q39">
            <v>1291418.0845999999</v>
          </cell>
          <cell r="R39">
            <v>-188428.47715337991</v>
          </cell>
        </row>
        <row r="40">
          <cell r="A40" t="str">
            <v>ACY02</v>
          </cell>
          <cell r="B40" t="str">
            <v>Armytage Strategic Opportunities Fund (Wholesale)</v>
          </cell>
          <cell r="C40" t="str">
            <v>Equity - Australia</v>
          </cell>
          <cell r="E40" t="str">
            <v>ACY02</v>
          </cell>
          <cell r="F40" t="str">
            <v>2.31%</v>
          </cell>
          <cell r="G40">
            <v>41766</v>
          </cell>
          <cell r="H40">
            <v>465030.03502103989</v>
          </cell>
          <cell r="I40">
            <v>194026.78</v>
          </cell>
          <cell r="J40" t="str">
            <v>Armytage</v>
          </cell>
          <cell r="K40">
            <v>4</v>
          </cell>
          <cell r="L40">
            <v>341535.10297324002</v>
          </cell>
          <cell r="M40">
            <v>341535.10297324002</v>
          </cell>
          <cell r="N40">
            <v>123494.93204779987</v>
          </cell>
          <cell r="O40">
            <v>0.63869999999999993</v>
          </cell>
          <cell r="P40">
            <v>728088.35919999995</v>
          </cell>
          <cell r="Q40">
            <v>547244.19640000002</v>
          </cell>
          <cell r="R40">
            <v>115505.16678035994</v>
          </cell>
        </row>
        <row r="41">
          <cell r="A41" t="str">
            <v>AXW01</v>
          </cell>
          <cell r="B41" t="str">
            <v>Ausbil Australian Active Equity</v>
          </cell>
          <cell r="C41" t="str">
            <v>Equity - Australia</v>
          </cell>
          <cell r="E41" t="str">
            <v>AXW01</v>
          </cell>
          <cell r="F41" t="str">
            <v>0.90%</v>
          </cell>
          <cell r="G41">
            <v>42394</v>
          </cell>
          <cell r="H41">
            <v>645666.82547477866</v>
          </cell>
          <cell r="I41">
            <v>20000</v>
          </cell>
          <cell r="J41" t="str">
            <v>Ausbil</v>
          </cell>
          <cell r="K41">
            <v>1</v>
          </cell>
          <cell r="L41">
            <v>607802.79837445018</v>
          </cell>
          <cell r="M41">
            <v>607802.79837445018</v>
          </cell>
          <cell r="N41">
            <v>37864.027100328472</v>
          </cell>
          <cell r="O41">
            <v>3.8197329999999998</v>
          </cell>
          <cell r="P41">
            <v>169034.54389999999</v>
          </cell>
          <cell r="Q41">
            <v>163738.25769999999</v>
          </cell>
          <cell r="R41">
            <v>20230.399175584607</v>
          </cell>
        </row>
        <row r="42">
          <cell r="A42" t="str">
            <v>AXW02</v>
          </cell>
          <cell r="B42" t="str">
            <v>Ausbil Australian Emerging Leaders Fund</v>
          </cell>
          <cell r="C42" t="str">
            <v>Equity - Australia</v>
          </cell>
          <cell r="E42" t="str">
            <v>AXW02</v>
          </cell>
          <cell r="F42" t="str">
            <v>0.85%</v>
          </cell>
          <cell r="G42">
            <v>42807</v>
          </cell>
          <cell r="H42">
            <v>1406938.9971877066</v>
          </cell>
          <cell r="I42">
            <v>98265</v>
          </cell>
          <cell r="J42" t="str">
            <v>Ausbil</v>
          </cell>
          <cell r="K42">
            <v>2</v>
          </cell>
          <cell r="L42">
            <v>1304951.7424684116</v>
          </cell>
          <cell r="M42">
            <v>1304951.7424684116</v>
          </cell>
          <cell r="N42">
            <v>101987.25471929507</v>
          </cell>
          <cell r="O42">
            <v>3.7871190000000001</v>
          </cell>
          <cell r="P42">
            <v>371506.41350000002</v>
          </cell>
          <cell r="Q42">
            <v>345766.02260000003</v>
          </cell>
          <cell r="R42">
            <v>97481.923444817105</v>
          </cell>
        </row>
        <row r="43">
          <cell r="A43" t="str">
            <v>AXW04</v>
          </cell>
          <cell r="B43" t="str">
            <v>Ausbil Australian Geared Equity</v>
          </cell>
          <cell r="C43" t="str">
            <v>Equity - Australia</v>
          </cell>
          <cell r="E43" t="str">
            <v>AXW04</v>
          </cell>
          <cell r="F43" t="str">
            <v>1.20%</v>
          </cell>
          <cell r="G43">
            <v>42394</v>
          </cell>
          <cell r="H43">
            <v>871073.12804189289</v>
          </cell>
          <cell r="I43">
            <v>24268.74</v>
          </cell>
          <cell r="J43" t="str">
            <v>Ausbil</v>
          </cell>
          <cell r="K43">
            <v>1</v>
          </cell>
          <cell r="L43">
            <v>852906.28938144958</v>
          </cell>
          <cell r="M43">
            <v>852906.28938144958</v>
          </cell>
          <cell r="N43">
            <v>18166.838660443318</v>
          </cell>
          <cell r="O43">
            <v>0.87950400000000006</v>
          </cell>
          <cell r="P43">
            <v>990414.06070000003</v>
          </cell>
          <cell r="Q43">
            <v>1018989.3208</v>
          </cell>
          <cell r="R43">
            <v>-25132.055558990363</v>
          </cell>
        </row>
        <row r="44">
          <cell r="A44" t="str">
            <v>AXW05</v>
          </cell>
          <cell r="B44" t="str">
            <v>Ausbil 130/30 Focus Fund</v>
          </cell>
          <cell r="C44" t="str">
            <v>Equity - Australia</v>
          </cell>
          <cell r="E44" t="str">
            <v>AXW05</v>
          </cell>
          <cell r="F44" t="str">
            <v>1.00%</v>
          </cell>
          <cell r="G44">
            <v>43032</v>
          </cell>
          <cell r="H44">
            <v>3113827.684726818</v>
          </cell>
          <cell r="I44">
            <v>577923.46</v>
          </cell>
          <cell r="J44" t="str">
            <v>Ausbil</v>
          </cell>
          <cell r="K44">
            <v>11</v>
          </cell>
          <cell r="L44">
            <v>2290946.5282011465</v>
          </cell>
          <cell r="M44">
            <v>2290946.5282011465</v>
          </cell>
          <cell r="N44">
            <v>822881.15652567148</v>
          </cell>
          <cell r="O44">
            <v>1.605769</v>
          </cell>
          <cell r="P44">
            <v>1939150.4535999997</v>
          </cell>
          <cell r="Q44">
            <v>1469504.0504999999</v>
          </cell>
          <cell r="R44">
            <v>754143.63505948347</v>
          </cell>
        </row>
        <row r="45">
          <cell r="A45" t="str">
            <v>AXW07</v>
          </cell>
          <cell r="B45" t="str">
            <v>Ausbil 130/30 Focus Fund</v>
          </cell>
          <cell r="C45" t="str">
            <v>Equity - Australia</v>
          </cell>
          <cell r="E45" t="str">
            <v>AXW07</v>
          </cell>
          <cell r="F45" t="str">
            <v>0.75%</v>
          </cell>
          <cell r="G45">
            <v>43220</v>
          </cell>
          <cell r="H45">
            <v>0</v>
          </cell>
          <cell r="I45" t="str">
            <v>0</v>
          </cell>
          <cell r="J45" t="str">
            <v>Ausbil</v>
          </cell>
          <cell r="K45" t="str">
            <v>0</v>
          </cell>
          <cell r="L45">
            <v>0</v>
          </cell>
          <cell r="M45">
            <v>0</v>
          </cell>
          <cell r="N45">
            <v>0</v>
          </cell>
          <cell r="O45">
            <v>1.0861239999999999</v>
          </cell>
          <cell r="P45">
            <v>0</v>
          </cell>
          <cell r="Q45">
            <v>0</v>
          </cell>
          <cell r="R45">
            <v>0</v>
          </cell>
        </row>
        <row r="46">
          <cell r="A46" t="str">
            <v>AXW08</v>
          </cell>
          <cell r="B46" t="str">
            <v>Ausbil 130/30 Focus Fund</v>
          </cell>
          <cell r="C46" t="str">
            <v>Equity - Australia</v>
          </cell>
          <cell r="E46" t="str">
            <v>AXW08</v>
          </cell>
          <cell r="F46" t="str">
            <v>1.00%</v>
          </cell>
          <cell r="G46">
            <v>43220</v>
          </cell>
          <cell r="H46">
            <v>0</v>
          </cell>
          <cell r="I46" t="str">
            <v>0</v>
          </cell>
          <cell r="J46" t="str">
            <v>Ausbil</v>
          </cell>
          <cell r="K46" t="str">
            <v>0</v>
          </cell>
          <cell r="L46">
            <v>0</v>
          </cell>
          <cell r="M46">
            <v>0</v>
          </cell>
          <cell r="N46">
            <v>0</v>
          </cell>
          <cell r="O46">
            <v>1.0489090000000001</v>
          </cell>
          <cell r="P46">
            <v>0</v>
          </cell>
          <cell r="Q46">
            <v>0</v>
          </cell>
          <cell r="R46">
            <v>0</v>
          </cell>
        </row>
        <row r="47">
          <cell r="A47" t="str">
            <v>AET01</v>
          </cell>
          <cell r="B47" t="str">
            <v>Australian Ethical Advocacy Wholesale</v>
          </cell>
          <cell r="C47" t="str">
            <v>Equity - Global</v>
          </cell>
          <cell r="E47" t="str">
            <v>AET01</v>
          </cell>
          <cell r="F47" t="str">
            <v>0.95%</v>
          </cell>
          <cell r="G47">
            <v>42193</v>
          </cell>
          <cell r="H47">
            <v>512378.63626791869</v>
          </cell>
          <cell r="I47">
            <v>12000</v>
          </cell>
          <cell r="J47" t="str">
            <v>Australian Ethical</v>
          </cell>
          <cell r="K47">
            <v>1</v>
          </cell>
          <cell r="L47">
            <v>488896.01840768894</v>
          </cell>
          <cell r="M47">
            <v>488896.01840768894</v>
          </cell>
          <cell r="N47">
            <v>23482.617860229744</v>
          </cell>
          <cell r="O47">
            <v>1.6942809999999999</v>
          </cell>
          <cell r="P47">
            <v>302416.56270000001</v>
          </cell>
          <cell r="Q47">
            <v>295254.52149999997</v>
          </cell>
          <cell r="R47">
            <v>12134.51032637726</v>
          </cell>
        </row>
        <row r="48">
          <cell r="A48" t="str">
            <v>AET02</v>
          </cell>
          <cell r="B48" t="str">
            <v>Australian Ethical Fixed Interest Fund Wholesale</v>
          </cell>
          <cell r="C48" t="str">
            <v>Fixed Income - Australia</v>
          </cell>
          <cell r="E48" t="str">
            <v>AET02</v>
          </cell>
          <cell r="F48" t="str">
            <v>0.45%</v>
          </cell>
          <cell r="G48">
            <v>42193</v>
          </cell>
          <cell r="H48">
            <v>269154.49832001637</v>
          </cell>
          <cell r="I48" t="str">
            <v>0</v>
          </cell>
          <cell r="J48" t="str">
            <v>Australian Ethical</v>
          </cell>
          <cell r="K48" t="str">
            <v>0</v>
          </cell>
          <cell r="L48">
            <v>268021.60418261698</v>
          </cell>
          <cell r="M48">
            <v>268021.60418261698</v>
          </cell>
          <cell r="N48">
            <v>1132.8941373993875</v>
          </cell>
          <cell r="O48">
            <v>1.0486839999999999</v>
          </cell>
          <cell r="P48">
            <v>256659.2971</v>
          </cell>
          <cell r="Q48">
            <v>256659.29709999997</v>
          </cell>
          <cell r="R48">
            <v>3.0520721338689326E-11</v>
          </cell>
        </row>
        <row r="49">
          <cell r="A49" t="str">
            <v>AET03</v>
          </cell>
          <cell r="B49" t="str">
            <v>Australian Ethical International Shares Wholesale</v>
          </cell>
          <cell r="C49" t="str">
            <v>Equity - Global</v>
          </cell>
          <cell r="E49" t="str">
            <v>AET03</v>
          </cell>
          <cell r="F49" t="str">
            <v>0.85%</v>
          </cell>
          <cell r="G49">
            <v>42193</v>
          </cell>
          <cell r="H49">
            <v>2310187.6786925374</v>
          </cell>
          <cell r="I49">
            <v>198000</v>
          </cell>
          <cell r="J49" t="str">
            <v>Australian Ethical</v>
          </cell>
          <cell r="K49">
            <v>6</v>
          </cell>
          <cell r="L49">
            <v>2267932.7642577942</v>
          </cell>
          <cell r="M49">
            <v>2267932.7642577942</v>
          </cell>
          <cell r="N49">
            <v>42254.914434743114</v>
          </cell>
          <cell r="O49">
            <v>1.2167319999999999</v>
          </cell>
          <cell r="P49">
            <v>1898682.4368</v>
          </cell>
          <cell r="Q49">
            <v>1901804.8933999999</v>
          </cell>
          <cell r="R49">
            <v>-3799.1928638310997</v>
          </cell>
        </row>
        <row r="50">
          <cell r="A50" t="str">
            <v>AET04</v>
          </cell>
          <cell r="B50" t="str">
            <v>Australian Ethical Australian Shares Wholesale</v>
          </cell>
          <cell r="C50" t="str">
            <v>Equity - Australia</v>
          </cell>
          <cell r="E50" t="str">
            <v>AET04</v>
          </cell>
          <cell r="F50" t="str">
            <v>1.10%</v>
          </cell>
          <cell r="G50">
            <v>42193</v>
          </cell>
          <cell r="H50">
            <v>4884212.2889192579</v>
          </cell>
          <cell r="I50">
            <v>271970</v>
          </cell>
          <cell r="J50" t="str">
            <v>Australian Ethical</v>
          </cell>
          <cell r="K50">
            <v>5</v>
          </cell>
          <cell r="L50">
            <v>4829965.9124941789</v>
          </cell>
          <cell r="M50">
            <v>4829965.9124941789</v>
          </cell>
          <cell r="N50">
            <v>54246.37642507907</v>
          </cell>
          <cell r="O50">
            <v>2.516632</v>
          </cell>
          <cell r="P50">
            <v>1940773.3386999997</v>
          </cell>
          <cell r="Q50">
            <v>1956222.3955000001</v>
          </cell>
          <cell r="R50">
            <v>-38879.590712698533</v>
          </cell>
        </row>
        <row r="51">
          <cell r="A51" t="str">
            <v>AET05</v>
          </cell>
          <cell r="B51" t="str">
            <v>Australian Ethical Diversified Shares Wholesale</v>
          </cell>
          <cell r="C51" t="str">
            <v>Equity - Global</v>
          </cell>
          <cell r="E51" t="str">
            <v>AET05</v>
          </cell>
          <cell r="F51" t="str">
            <v>0.95%</v>
          </cell>
          <cell r="G51">
            <v>42193</v>
          </cell>
          <cell r="H51">
            <v>980449.22766275436</v>
          </cell>
          <cell r="I51" t="str">
            <v>0</v>
          </cell>
          <cell r="J51" t="str">
            <v>Australian Ethical</v>
          </cell>
          <cell r="K51" t="str">
            <v>0</v>
          </cell>
          <cell r="L51">
            <v>958170.39840741805</v>
          </cell>
          <cell r="M51">
            <v>958170.39840741805</v>
          </cell>
          <cell r="N51">
            <v>22278.829255336314</v>
          </cell>
          <cell r="O51">
            <v>2.6689159999999998</v>
          </cell>
          <cell r="P51">
            <v>367358.59340000001</v>
          </cell>
          <cell r="Q51">
            <v>367358.59340000001</v>
          </cell>
          <cell r="R51">
            <v>0</v>
          </cell>
        </row>
        <row r="52">
          <cell r="A52" t="str">
            <v>AET06</v>
          </cell>
          <cell r="B52" t="str">
            <v>Australian Ethical Cash Wholesale</v>
          </cell>
          <cell r="C52" t="str">
            <v>Fixed Income - Australia</v>
          </cell>
          <cell r="E52" t="str">
            <v>AET06</v>
          </cell>
          <cell r="F52" t="str">
            <v>0.35%</v>
          </cell>
          <cell r="G52">
            <v>42193</v>
          </cell>
          <cell r="H52">
            <v>170733.47611152631</v>
          </cell>
          <cell r="I52" t="str">
            <v>0</v>
          </cell>
          <cell r="J52" t="str">
            <v>Australian Ethical</v>
          </cell>
          <cell r="K52" t="str">
            <v>0</v>
          </cell>
          <cell r="L52">
            <v>170481.64140133563</v>
          </cell>
          <cell r="M52">
            <v>170481.64140133563</v>
          </cell>
          <cell r="N52">
            <v>251.83471019068384</v>
          </cell>
          <cell r="O52">
            <v>0.99592100000000006</v>
          </cell>
          <cell r="P52">
            <v>171432.75030000001</v>
          </cell>
          <cell r="Q52">
            <v>171432.75030000001</v>
          </cell>
          <cell r="R52">
            <v>0</v>
          </cell>
        </row>
        <row r="53">
          <cell r="A53" t="str">
            <v>AET07</v>
          </cell>
          <cell r="B53" t="str">
            <v>Australian Ethical Emerging Companies Wholesale</v>
          </cell>
          <cell r="C53" t="str">
            <v>Equity - Australia</v>
          </cell>
          <cell r="E53" t="str">
            <v>AET07</v>
          </cell>
          <cell r="F53" t="str">
            <v>1.20%</v>
          </cell>
          <cell r="G53">
            <v>42193</v>
          </cell>
          <cell r="H53">
            <v>1395684.8369008536</v>
          </cell>
          <cell r="I53">
            <v>80000</v>
          </cell>
          <cell r="J53" t="str">
            <v>Australian Ethical</v>
          </cell>
          <cell r="K53">
            <v>3</v>
          </cell>
          <cell r="L53">
            <v>1291539.4265488053</v>
          </cell>
          <cell r="M53">
            <v>1291539.4265488053</v>
          </cell>
          <cell r="N53">
            <v>104145.41035204823</v>
          </cell>
          <cell r="O53">
            <v>1.366285</v>
          </cell>
          <cell r="P53">
            <v>1021518.0851</v>
          </cell>
          <cell r="Q53">
            <v>962600.53449999995</v>
          </cell>
          <cell r="R53">
            <v>80498.165621521097</v>
          </cell>
        </row>
        <row r="54">
          <cell r="A54" t="str">
            <v>AET08</v>
          </cell>
          <cell r="B54" t="str">
            <v>Australian Ethical Balanced Fund</v>
          </cell>
          <cell r="C54" t="str">
            <v>Mixed</v>
          </cell>
          <cell r="E54" t="str">
            <v>AET08</v>
          </cell>
          <cell r="F54" t="str">
            <v>0.85%</v>
          </cell>
          <cell r="G54">
            <v>43201</v>
          </cell>
          <cell r="H54">
            <v>268289.51948477159</v>
          </cell>
          <cell r="I54">
            <v>146000</v>
          </cell>
          <cell r="J54" t="str">
            <v>Australian Ethical</v>
          </cell>
          <cell r="K54">
            <v>4</v>
          </cell>
          <cell r="L54">
            <v>119151.3993984392</v>
          </cell>
          <cell r="M54">
            <v>119151.3993984392</v>
          </cell>
          <cell r="N54">
            <v>149138.12008633238</v>
          </cell>
          <cell r="O54">
            <v>1.618924</v>
          </cell>
          <cell r="P54">
            <v>165720.88589999999</v>
          </cell>
          <cell r="Q54">
            <v>74825.842399999994</v>
          </cell>
          <cell r="R54">
            <v>147152.16740319401</v>
          </cell>
        </row>
        <row r="55">
          <cell r="A55" t="str">
            <v>AVO01</v>
          </cell>
          <cell r="B55" t="str">
            <v>Bennelong Avoca Emerging Leaders</v>
          </cell>
          <cell r="C55" t="str">
            <v>Equity - Australia</v>
          </cell>
          <cell r="E55" t="str">
            <v>AVO01</v>
          </cell>
          <cell r="F55" t="str">
            <v>1.25%</v>
          </cell>
          <cell r="G55">
            <v>42291</v>
          </cell>
          <cell r="H55">
            <v>79508.77834614001</v>
          </cell>
          <cell r="I55" t="str">
            <v>0</v>
          </cell>
          <cell r="J55" t="str">
            <v>Avoca</v>
          </cell>
          <cell r="K55" t="str">
            <v>0</v>
          </cell>
          <cell r="L55">
            <v>79929.346565829997</v>
          </cell>
          <cell r="M55">
            <v>79929.346565829997</v>
          </cell>
          <cell r="N55">
            <v>-420.56821968998702</v>
          </cell>
          <cell r="O55">
            <v>1.1154000000000002</v>
          </cell>
          <cell r="P55">
            <v>71282.749100000001</v>
          </cell>
          <cell r="Q55">
            <v>71282.749100000001</v>
          </cell>
          <cell r="R55">
            <v>0</v>
          </cell>
        </row>
        <row r="56">
          <cell r="A56" t="str">
            <v>BAE01</v>
          </cell>
          <cell r="B56" t="str">
            <v>Bennelong Australian Equities</v>
          </cell>
          <cell r="C56" t="str">
            <v>Equity - Australia</v>
          </cell>
          <cell r="E56" t="str">
            <v>BAE01</v>
          </cell>
          <cell r="F56" t="str">
            <v>0.95%</v>
          </cell>
          <cell r="G56">
            <v>42291</v>
          </cell>
          <cell r="H56">
            <v>2082222.9228206999</v>
          </cell>
          <cell r="I56">
            <v>289283.13</v>
          </cell>
          <cell r="J56" t="str">
            <v>Bennelong</v>
          </cell>
          <cell r="K56">
            <v>9</v>
          </cell>
          <cell r="L56">
            <v>1792421.30428928</v>
          </cell>
          <cell r="M56">
            <v>1792421.30428928</v>
          </cell>
          <cell r="N56">
            <v>289801.6185314199</v>
          </cell>
          <cell r="O56">
            <v>2.3069999999999999</v>
          </cell>
          <cell r="P56">
            <v>902567.37009999994</v>
          </cell>
          <cell r="Q56">
            <v>802480.8848</v>
          </cell>
          <cell r="R56">
            <v>230899.52158709985</v>
          </cell>
        </row>
        <row r="57">
          <cell r="A57" t="str">
            <v>BAE02</v>
          </cell>
          <cell r="B57" t="str">
            <v>Bennelong Concentrated Australian Equity</v>
          </cell>
          <cell r="C57" t="str">
            <v>Equity - Australia</v>
          </cell>
          <cell r="E57" t="str">
            <v>BAE02</v>
          </cell>
          <cell r="F57" t="str">
            <v>0.85%</v>
          </cell>
          <cell r="G57">
            <v>42291</v>
          </cell>
          <cell r="H57">
            <v>11403085.506024649</v>
          </cell>
          <cell r="I57">
            <v>782016.91</v>
          </cell>
          <cell r="J57" t="str">
            <v>Bennelong</v>
          </cell>
          <cell r="K57">
            <v>27</v>
          </cell>
          <cell r="L57">
            <v>10534687.24496091</v>
          </cell>
          <cell r="M57">
            <v>10534687.24496091</v>
          </cell>
          <cell r="N57">
            <v>868398.26106373966</v>
          </cell>
          <cell r="O57">
            <v>2.2612999999999999</v>
          </cell>
          <cell r="P57">
            <v>5042712.3805</v>
          </cell>
          <cell r="Q57">
            <v>4731926.1756999996</v>
          </cell>
          <cell r="R57">
            <v>702780.84491424088</v>
          </cell>
        </row>
        <row r="58">
          <cell r="A58" t="str">
            <v>BAE03</v>
          </cell>
          <cell r="B58" t="str">
            <v>Bennelong ex-20 Australian Equities</v>
          </cell>
          <cell r="C58" t="str">
            <v>Equity - Australia</v>
          </cell>
          <cell r="E58" t="str">
            <v>BAE03</v>
          </cell>
          <cell r="F58" t="str">
            <v>0.95%</v>
          </cell>
          <cell r="G58">
            <v>42291</v>
          </cell>
          <cell r="H58">
            <v>22098699.089788266</v>
          </cell>
          <cell r="I58">
            <v>876913.51</v>
          </cell>
          <cell r="J58" t="str">
            <v>Bennelong</v>
          </cell>
          <cell r="K58">
            <v>29</v>
          </cell>
          <cell r="L58">
            <v>20874314.686539963</v>
          </cell>
          <cell r="M58">
            <v>20874314.686539963</v>
          </cell>
          <cell r="N58">
            <v>1224384.4032483026</v>
          </cell>
          <cell r="O58">
            <v>2.5510999999999999</v>
          </cell>
          <cell r="P58">
            <v>8662419.7756999992</v>
          </cell>
          <cell r="Q58">
            <v>8399450.6223000009</v>
          </cell>
          <cell r="R58">
            <v>670860.60723873565</v>
          </cell>
        </row>
        <row r="59">
          <cell r="A59" t="str">
            <v>BAE04</v>
          </cell>
          <cell r="B59" t="str">
            <v>Bennelong Twenty20 Australian Equities</v>
          </cell>
          <cell r="C59" t="str">
            <v>Equity - Australia</v>
          </cell>
          <cell r="E59" t="str">
            <v>BAE04</v>
          </cell>
          <cell r="F59" t="str">
            <v>0.39%</v>
          </cell>
          <cell r="G59">
            <v>42424</v>
          </cell>
          <cell r="H59">
            <v>75956.519044689994</v>
          </cell>
          <cell r="I59" t="str">
            <v>0</v>
          </cell>
          <cell r="J59" t="str">
            <v>Bennelong</v>
          </cell>
          <cell r="K59" t="str">
            <v>0</v>
          </cell>
          <cell r="L59">
            <v>73663.224406969995</v>
          </cell>
          <cell r="M59">
            <v>73663.224406969995</v>
          </cell>
          <cell r="N59">
            <v>2293.2946377199987</v>
          </cell>
          <cell r="O59">
            <v>1.2850999999999999</v>
          </cell>
          <cell r="P59">
            <v>59105.531900000002</v>
          </cell>
          <cell r="Q59">
            <v>59105.531899999994</v>
          </cell>
          <cell r="R59">
            <v>9.35033312998712E-12</v>
          </cell>
        </row>
        <row r="60">
          <cell r="A60" t="str">
            <v>BAE05</v>
          </cell>
          <cell r="B60" t="str">
            <v>Bennelong Emerging Companies Fund</v>
          </cell>
          <cell r="C60" t="str">
            <v>Equity - Australia</v>
          </cell>
          <cell r="E60" t="str">
            <v>BAE05</v>
          </cell>
          <cell r="F60" t="str">
            <v>1.20%</v>
          </cell>
          <cell r="G60">
            <v>43213</v>
          </cell>
          <cell r="H60">
            <v>21584.009894279996</v>
          </cell>
          <cell r="I60">
            <v>22000</v>
          </cell>
          <cell r="J60" t="str">
            <v>Bennelong</v>
          </cell>
          <cell r="K60">
            <v>2</v>
          </cell>
          <cell r="L60">
            <v>0</v>
          </cell>
          <cell r="M60">
            <v>0</v>
          </cell>
          <cell r="N60">
            <v>21584.009894279996</v>
          </cell>
          <cell r="O60">
            <v>1.2747999999999999</v>
          </cell>
          <cell r="P60">
            <v>16931.291099999999</v>
          </cell>
          <cell r="Q60">
            <v>0</v>
          </cell>
          <cell r="R60">
            <v>21584.009894279996</v>
          </cell>
        </row>
        <row r="61">
          <cell r="A61" t="str">
            <v>BAM03</v>
          </cell>
          <cell r="B61" t="str">
            <v>Bentham Wholesale High Yield</v>
          </cell>
          <cell r="C61" t="str">
            <v>Fixed Income - Global</v>
          </cell>
          <cell r="E61" t="str">
            <v>BAM03</v>
          </cell>
          <cell r="F61" t="str">
            <v>0.72%</v>
          </cell>
          <cell r="G61">
            <v>42184</v>
          </cell>
          <cell r="H61">
            <v>1768882.0593353598</v>
          </cell>
          <cell r="I61">
            <v>202434.56</v>
          </cell>
          <cell r="J61" t="str">
            <v>Bentham</v>
          </cell>
          <cell r="K61">
            <v>7</v>
          </cell>
          <cell r="L61">
            <v>1816705.5262189901</v>
          </cell>
          <cell r="M61">
            <v>1816705.5262189901</v>
          </cell>
          <cell r="N61">
            <v>-47823.466883630259</v>
          </cell>
          <cell r="O61">
            <v>0.93819999999999992</v>
          </cell>
          <cell r="P61">
            <v>1885399.7648</v>
          </cell>
          <cell r="Q61">
            <v>1940717.3659000001</v>
          </cell>
          <cell r="R61">
            <v>-51898.973352020075</v>
          </cell>
        </row>
        <row r="62">
          <cell r="A62" t="str">
            <v>BAM04</v>
          </cell>
          <cell r="B62" t="str">
            <v>Bentham Syndicated Loan Fund</v>
          </cell>
          <cell r="C62" t="str">
            <v>Fixed Income - Global</v>
          </cell>
          <cell r="E62" t="str">
            <v>BAM04</v>
          </cell>
          <cell r="F62" t="str">
            <v>0.84%</v>
          </cell>
          <cell r="G62">
            <v>42310</v>
          </cell>
          <cell r="H62">
            <v>1575762.5531195798</v>
          </cell>
          <cell r="I62">
            <v>22737.640000000003</v>
          </cell>
          <cell r="J62" t="str">
            <v>Bentham</v>
          </cell>
          <cell r="K62">
            <v>21</v>
          </cell>
          <cell r="L62">
            <v>1607247.0082040401</v>
          </cell>
          <cell r="M62">
            <v>1607247.0082040401</v>
          </cell>
          <cell r="N62">
            <v>-31484.455084460322</v>
          </cell>
          <cell r="O62">
            <v>0.95829999999999993</v>
          </cell>
          <cell r="P62">
            <v>1644331.1625999999</v>
          </cell>
          <cell r="Q62">
            <v>1672125.4767</v>
          </cell>
          <cell r="R62">
            <v>-26635.291202030072</v>
          </cell>
        </row>
        <row r="63">
          <cell r="A63" t="str">
            <v>BAM05</v>
          </cell>
          <cell r="B63" t="str">
            <v>Bentham Global Income Fund</v>
          </cell>
          <cell r="C63" t="str">
            <v>Fixed Income - Global</v>
          </cell>
          <cell r="E63" t="str">
            <v>BAM05</v>
          </cell>
          <cell r="F63" t="str">
            <v>0.77%</v>
          </cell>
          <cell r="G63">
            <v>42310</v>
          </cell>
          <cell r="H63">
            <v>17677965.031814195</v>
          </cell>
          <cell r="I63">
            <v>1062526.9500000004</v>
          </cell>
          <cell r="J63" t="str">
            <v>Bentham</v>
          </cell>
          <cell r="K63">
            <v>74</v>
          </cell>
          <cell r="L63">
            <v>17250874.993743412</v>
          </cell>
          <cell r="M63">
            <v>17250874.993743412</v>
          </cell>
          <cell r="N63">
            <v>427090.03807078302</v>
          </cell>
          <cell r="O63">
            <v>1.0547</v>
          </cell>
          <cell r="P63">
            <v>16761131.157499</v>
          </cell>
          <cell r="Q63">
            <v>16322144.946299</v>
          </cell>
          <cell r="R63">
            <v>462998.75695264072</v>
          </cell>
        </row>
        <row r="64">
          <cell r="A64" t="str">
            <v>BLL01</v>
          </cell>
          <cell r="B64" t="str">
            <v>Bell Global Equities Fund</v>
          </cell>
          <cell r="C64" t="str">
            <v>Equity - Global</v>
          </cell>
          <cell r="E64" t="str">
            <v>BLL01</v>
          </cell>
          <cell r="F64" t="str">
            <v>0.76%</v>
          </cell>
          <cell r="G64">
            <v>43020</v>
          </cell>
          <cell r="H64">
            <v>1575120.2021441199</v>
          </cell>
          <cell r="I64">
            <v>222000</v>
          </cell>
          <cell r="J64" t="str">
            <v>Bell</v>
          </cell>
          <cell r="K64">
            <v>3</v>
          </cell>
          <cell r="L64">
            <v>1302897.83464575</v>
          </cell>
          <cell r="M64">
            <v>1302897.83464575</v>
          </cell>
          <cell r="N64">
            <v>272222.36749836989</v>
          </cell>
          <cell r="O64">
            <v>1.4428000000000001</v>
          </cell>
          <cell r="P64">
            <v>1091710.7028999999</v>
          </cell>
          <cell r="Q64">
            <v>936999.52149999992</v>
          </cell>
          <cell r="R64">
            <v>223217.29252392001</v>
          </cell>
        </row>
        <row r="65">
          <cell r="A65" t="str">
            <v>BLM01</v>
          </cell>
          <cell r="B65" t="str">
            <v>Bell Global Emerging Companies Fund</v>
          </cell>
          <cell r="C65" t="str">
            <v>Equity - Global</v>
          </cell>
          <cell r="E65" t="str">
            <v>BLM01</v>
          </cell>
          <cell r="F65" t="str">
            <v>1.25%</v>
          </cell>
          <cell r="G65">
            <v>43073</v>
          </cell>
          <cell r="H65">
            <v>713196.50388342002</v>
          </cell>
          <cell r="I65">
            <v>15000</v>
          </cell>
          <cell r="J65" t="str">
            <v>Bell</v>
          </cell>
          <cell r="K65">
            <v>1</v>
          </cell>
          <cell r="L65">
            <v>670333.03370904014</v>
          </cell>
          <cell r="M65">
            <v>670333.03370904014</v>
          </cell>
          <cell r="N65">
            <v>42863.47017437988</v>
          </cell>
          <cell r="O65">
            <v>1.1216999999999999</v>
          </cell>
          <cell r="P65">
            <v>635817.51260000002</v>
          </cell>
          <cell r="Q65">
            <v>622061.09290000005</v>
          </cell>
          <cell r="R65">
            <v>15430.575977489965</v>
          </cell>
        </row>
        <row r="66">
          <cell r="A66" t="str">
            <v>DSC01</v>
          </cell>
          <cell r="B66" t="str">
            <v>Dalton Street Capital Absolute Return Fund</v>
          </cell>
          <cell r="C66" t="str">
            <v>Equity - Global</v>
          </cell>
          <cell r="E66" t="str">
            <v>DSC01</v>
          </cell>
          <cell r="F66">
            <v>1.4999999999999999E-2</v>
          </cell>
          <cell r="G66">
            <v>43091</v>
          </cell>
          <cell r="H66">
            <v>1795636.7468613498</v>
          </cell>
          <cell r="I66">
            <v>921500</v>
          </cell>
          <cell r="J66" t="str">
            <v>Dalton Street</v>
          </cell>
          <cell r="K66">
            <v>24</v>
          </cell>
          <cell r="L66">
            <v>967486.5906315</v>
          </cell>
          <cell r="M66">
            <v>967486.5906315</v>
          </cell>
          <cell r="N66">
            <v>828150.15622984979</v>
          </cell>
          <cell r="O66">
            <v>1.1777</v>
          </cell>
          <cell r="P66">
            <v>1524697.9254999999</v>
          </cell>
          <cell r="Q66">
            <v>784978.97820000001</v>
          </cell>
          <cell r="R66">
            <v>871167.0042352099</v>
          </cell>
        </row>
        <row r="67">
          <cell r="A67" t="str">
            <v>LMA07</v>
          </cell>
          <cell r="B67" t="str">
            <v>Legg Mason Brandywine Global Opportunistic Fixed Income Trust A</v>
          </cell>
          <cell r="C67" t="str">
            <v>Fixed Income - Global</v>
          </cell>
          <cell r="E67" t="str">
            <v>LMA07</v>
          </cell>
          <cell r="F67" t="str">
            <v>0.70%</v>
          </cell>
          <cell r="G67">
            <v>42072</v>
          </cell>
          <cell r="H67">
            <v>14970023.848547472</v>
          </cell>
          <cell r="I67">
            <v>706902.39999999991</v>
          </cell>
          <cell r="J67" t="str">
            <v>Brandywine</v>
          </cell>
          <cell r="K67">
            <v>8</v>
          </cell>
          <cell r="L67">
            <v>15586602.095737087</v>
          </cell>
          <cell r="M67">
            <v>15586602.095737087</v>
          </cell>
          <cell r="N67">
            <v>-616578.24718961492</v>
          </cell>
          <cell r="O67">
            <v>1.20696</v>
          </cell>
          <cell r="P67">
            <v>12403081.998199999</v>
          </cell>
          <cell r="Q67">
            <v>12855565.7152</v>
          </cell>
          <cell r="R67">
            <v>-546129.74707032018</v>
          </cell>
        </row>
        <row r="68">
          <cell r="A68" t="str">
            <v>SPC01</v>
          </cell>
          <cell r="B68" t="str">
            <v>Spire Copper Rock Capital Global Smaller Companies</v>
          </cell>
          <cell r="C68" t="str">
            <v>Equity - Global</v>
          </cell>
          <cell r="E68" t="str">
            <v>SPC01</v>
          </cell>
          <cell r="F68" t="str">
            <v>1.38%</v>
          </cell>
          <cell r="G68">
            <v>42179</v>
          </cell>
          <cell r="H68">
            <v>997777.88797499996</v>
          </cell>
          <cell r="I68">
            <v>23500</v>
          </cell>
          <cell r="J68" t="str">
            <v>Copper Rock</v>
          </cell>
          <cell r="K68">
            <v>2</v>
          </cell>
          <cell r="L68">
            <v>975111.82675399992</v>
          </cell>
          <cell r="M68">
            <v>975111.82675399992</v>
          </cell>
          <cell r="N68">
            <v>22666.06122100004</v>
          </cell>
          <cell r="O68">
            <v>1.0785</v>
          </cell>
          <cell r="P68">
            <v>925153.35</v>
          </cell>
          <cell r="Q68">
            <v>903801.86</v>
          </cell>
          <cell r="R68">
            <v>23027.58196499999</v>
          </cell>
        </row>
        <row r="69">
          <cell r="A69" t="str">
            <v>EQY01</v>
          </cell>
          <cell r="B69" t="str">
            <v>Eqt Wholesale Flagship Fund</v>
          </cell>
          <cell r="C69" t="str">
            <v>Equity - Australia</v>
          </cell>
          <cell r="E69" t="str">
            <v>EQY01</v>
          </cell>
          <cell r="F69" t="str">
            <v>0.72%</v>
          </cell>
          <cell r="G69">
            <v>41767</v>
          </cell>
          <cell r="H69">
            <v>97947.144239519999</v>
          </cell>
          <cell r="I69" t="str">
            <v>0</v>
          </cell>
          <cell r="J69" t="str">
            <v>Equity Trustees</v>
          </cell>
          <cell r="K69" t="str">
            <v>0</v>
          </cell>
          <cell r="L69">
            <v>94367.759249160008</v>
          </cell>
          <cell r="M69">
            <v>94367.759249160008</v>
          </cell>
          <cell r="N69">
            <v>3579.3849903599912</v>
          </cell>
          <cell r="O69">
            <v>1.2396</v>
          </cell>
          <cell r="P69">
            <v>79015.121199999994</v>
          </cell>
          <cell r="Q69">
            <v>79015.121199999994</v>
          </cell>
          <cell r="R69">
            <v>0</v>
          </cell>
        </row>
        <row r="70">
          <cell r="A70" t="str">
            <v>EQY02</v>
          </cell>
          <cell r="B70" t="str">
            <v>Eqt Australian Equity Fund</v>
          </cell>
          <cell r="C70" t="str">
            <v>Equity - Australia</v>
          </cell>
          <cell r="E70" t="str">
            <v>EQY02</v>
          </cell>
          <cell r="F70" t="str">
            <v>0.87%</v>
          </cell>
          <cell r="G70">
            <v>41767</v>
          </cell>
          <cell r="H70">
            <v>159821.83265900001</v>
          </cell>
          <cell r="I70">
            <v>1400</v>
          </cell>
          <cell r="J70" t="str">
            <v>Equity Trustees</v>
          </cell>
          <cell r="K70">
            <v>1</v>
          </cell>
          <cell r="L70">
            <v>152376.89486117999</v>
          </cell>
          <cell r="M70">
            <v>152376.89486117999</v>
          </cell>
          <cell r="N70">
            <v>7444.9377978200209</v>
          </cell>
          <cell r="O70">
            <v>1.4259999999999999</v>
          </cell>
          <cell r="P70">
            <v>112077.02150000002</v>
          </cell>
          <cell r="Q70">
            <v>111069.9722</v>
          </cell>
          <cell r="R70">
            <v>1436.052301800019</v>
          </cell>
        </row>
        <row r="71">
          <cell r="A71" t="str">
            <v>EAP01</v>
          </cell>
          <cell r="B71" t="str">
            <v>Evans and Partners International Fund - Hedged</v>
          </cell>
          <cell r="C71" t="str">
            <v>Equity - Global</v>
          </cell>
          <cell r="E71" t="str">
            <v>EAP01</v>
          </cell>
          <cell r="F71" t="str">
            <v>1.25%</v>
          </cell>
          <cell r="G71">
            <v>41766</v>
          </cell>
          <cell r="H71">
            <v>194766.57591813002</v>
          </cell>
          <cell r="I71" t="str">
            <v>0</v>
          </cell>
          <cell r="J71" t="str">
            <v>Evans and Partners</v>
          </cell>
          <cell r="K71" t="str">
            <v>0</v>
          </cell>
          <cell r="L71">
            <v>194095.42989497998</v>
          </cell>
          <cell r="M71">
            <v>194095.42989497998</v>
          </cell>
          <cell r="N71">
            <v>671.14602315003867</v>
          </cell>
          <cell r="O71">
            <v>1.3059000000000001</v>
          </cell>
          <cell r="P71">
            <v>149143.5607</v>
          </cell>
          <cell r="Q71">
            <v>149143.5607</v>
          </cell>
          <cell r="R71">
            <v>0</v>
          </cell>
        </row>
        <row r="72">
          <cell r="A72" t="str">
            <v>EAP03</v>
          </cell>
          <cell r="B72" t="str">
            <v>Evans and Partners International Fund</v>
          </cell>
          <cell r="C72" t="str">
            <v>Equity - Global</v>
          </cell>
          <cell r="E72" t="str">
            <v>EAP03</v>
          </cell>
          <cell r="F72" t="str">
            <v>1.25%</v>
          </cell>
          <cell r="G72">
            <v>41766</v>
          </cell>
          <cell r="H72">
            <v>661532.34597815992</v>
          </cell>
          <cell r="I72" t="str">
            <v>0</v>
          </cell>
          <cell r="J72" t="str">
            <v>Evans and Partners</v>
          </cell>
          <cell r="K72" t="str">
            <v>0</v>
          </cell>
          <cell r="L72">
            <v>644528.95810391998</v>
          </cell>
          <cell r="M72">
            <v>644528.95810391998</v>
          </cell>
          <cell r="N72">
            <v>17003.387874239939</v>
          </cell>
          <cell r="O72">
            <v>1.4472999999999998</v>
          </cell>
          <cell r="P72">
            <v>457080.31920000003</v>
          </cell>
          <cell r="Q72">
            <v>457080.31920000003</v>
          </cell>
          <cell r="R72">
            <v>0</v>
          </cell>
        </row>
        <row r="73">
          <cell r="A73" t="str">
            <v>FEP01</v>
          </cell>
          <cell r="B73" t="str">
            <v>Fairview Equity Partners Emerging Companies</v>
          </cell>
          <cell r="C73" t="str">
            <v>Equity - Australia</v>
          </cell>
          <cell r="E73" t="str">
            <v>FEP01</v>
          </cell>
          <cell r="F73" t="str">
            <v>1.20%</v>
          </cell>
          <cell r="G73">
            <v>42359</v>
          </cell>
          <cell r="H73">
            <v>1489471.8337653701</v>
          </cell>
          <cell r="I73">
            <v>28043.13</v>
          </cell>
          <cell r="J73" t="str">
            <v>Fairview</v>
          </cell>
          <cell r="K73">
            <v>2</v>
          </cell>
          <cell r="L73">
            <v>1450753.9202895602</v>
          </cell>
          <cell r="M73">
            <v>1450753.9202895602</v>
          </cell>
          <cell r="N73">
            <v>38717.913475809852</v>
          </cell>
          <cell r="O73">
            <v>2.4031000000000002</v>
          </cell>
          <cell r="P73">
            <v>619812.6727</v>
          </cell>
          <cell r="Q73">
            <v>610663.77080000006</v>
          </cell>
          <cell r="R73">
            <v>21985.726155889854</v>
          </cell>
        </row>
        <row r="74">
          <cell r="A74" t="str">
            <v>FIL07</v>
          </cell>
          <cell r="B74" t="str">
            <v>Fidelity Global Equities</v>
          </cell>
          <cell r="C74" t="str">
            <v>Equity - Global</v>
          </cell>
          <cell r="E74" t="str">
            <v>FIL07</v>
          </cell>
          <cell r="F74" t="str">
            <v>1.15%</v>
          </cell>
          <cell r="G74">
            <v>42422</v>
          </cell>
          <cell r="H74">
            <v>8745087.4213050008</v>
          </cell>
          <cell r="I74">
            <v>177140.47999999998</v>
          </cell>
          <cell r="J74" t="str">
            <v>Fidelity</v>
          </cell>
          <cell r="K74">
            <v>8</v>
          </cell>
          <cell r="L74">
            <v>8384037.9299040008</v>
          </cell>
          <cell r="M74">
            <v>8384037.9299040008</v>
          </cell>
          <cell r="N74">
            <v>361049.49140099995</v>
          </cell>
          <cell r="O74">
            <v>23.927700000000002</v>
          </cell>
          <cell r="P74">
            <v>365479.65</v>
          </cell>
          <cell r="Q74">
            <v>358770.58</v>
          </cell>
          <cell r="R74">
            <v>160532.61423900019</v>
          </cell>
        </row>
        <row r="75">
          <cell r="A75" t="str">
            <v>FIL08</v>
          </cell>
          <cell r="B75" t="str">
            <v>Fidelity Australian Equities</v>
          </cell>
          <cell r="C75" t="str">
            <v>Equity - Australia</v>
          </cell>
          <cell r="E75" t="str">
            <v>FIL08</v>
          </cell>
          <cell r="F75" t="str">
            <v>0.85%</v>
          </cell>
          <cell r="G75">
            <v>42422</v>
          </cell>
          <cell r="H75">
            <v>11174282.807892</v>
          </cell>
          <cell r="I75">
            <v>341034.5</v>
          </cell>
          <cell r="J75" t="str">
            <v>Fidelity</v>
          </cell>
          <cell r="K75">
            <v>11</v>
          </cell>
          <cell r="L75">
            <v>10625267.057700999</v>
          </cell>
          <cell r="M75">
            <v>10625267.057700999</v>
          </cell>
          <cell r="N75">
            <v>549015.75019100122</v>
          </cell>
          <cell r="O75">
            <v>33.935600000000001</v>
          </cell>
          <cell r="P75">
            <v>329279.07</v>
          </cell>
          <cell r="Q75">
            <v>324442.57</v>
          </cell>
          <cell r="R75">
            <v>164129.5294</v>
          </cell>
        </row>
        <row r="76">
          <cell r="A76" t="str">
            <v>FIL10</v>
          </cell>
          <cell r="B76" t="str">
            <v>Fidelity Asia</v>
          </cell>
          <cell r="C76" t="str">
            <v>Equity - Global</v>
          </cell>
          <cell r="E76" t="str">
            <v>FIL10</v>
          </cell>
          <cell r="F76" t="str">
            <v>1.17%</v>
          </cell>
          <cell r="G76">
            <v>42422</v>
          </cell>
          <cell r="H76">
            <v>4297563.4076760001</v>
          </cell>
          <cell r="I76">
            <v>107000</v>
          </cell>
          <cell r="J76" t="str">
            <v>Fidelity</v>
          </cell>
          <cell r="K76">
            <v>4</v>
          </cell>
          <cell r="L76">
            <v>4298297.405332</v>
          </cell>
          <cell r="M76">
            <v>4298297.405332</v>
          </cell>
          <cell r="N76">
            <v>-733.99765599984676</v>
          </cell>
          <cell r="O76">
            <v>19.9727</v>
          </cell>
          <cell r="P76">
            <v>215171.88</v>
          </cell>
          <cell r="Q76">
            <v>210266.92</v>
          </cell>
          <cell r="R76">
            <v>97965.294591999831</v>
          </cell>
        </row>
        <row r="77">
          <cell r="A77" t="str">
            <v>FIL11</v>
          </cell>
          <cell r="B77" t="str">
            <v>Fidelity China</v>
          </cell>
          <cell r="C77" t="str">
            <v>Equity - Global</v>
          </cell>
          <cell r="E77" t="str">
            <v>FIL11</v>
          </cell>
          <cell r="F77" t="str">
            <v>1.21%</v>
          </cell>
          <cell r="G77">
            <v>42422</v>
          </cell>
          <cell r="H77">
            <v>1947710.5157250003</v>
          </cell>
          <cell r="I77">
            <v>50000</v>
          </cell>
          <cell r="J77" t="str">
            <v>Fidelity</v>
          </cell>
          <cell r="K77">
            <v>1</v>
          </cell>
          <cell r="L77">
            <v>2010185.1118319998</v>
          </cell>
          <cell r="M77">
            <v>2010185.1118319998</v>
          </cell>
          <cell r="N77">
            <v>-62474.596106999554</v>
          </cell>
          <cell r="O77">
            <v>37.637100000000004</v>
          </cell>
          <cell r="P77">
            <v>51749.75</v>
          </cell>
          <cell r="Q77">
            <v>51725.84</v>
          </cell>
          <cell r="R77">
            <v>899.90306100013152</v>
          </cell>
        </row>
        <row r="78">
          <cell r="A78" t="str">
            <v>FIL14</v>
          </cell>
          <cell r="B78" t="str">
            <v>Fidelity Hedged Global Equities</v>
          </cell>
          <cell r="C78" t="str">
            <v>Equity - Global</v>
          </cell>
          <cell r="E78" t="str">
            <v>FIL14</v>
          </cell>
          <cell r="F78" t="str">
            <v>1.20%</v>
          </cell>
          <cell r="G78">
            <v>42422</v>
          </cell>
          <cell r="H78">
            <v>747702.98360700009</v>
          </cell>
          <cell r="I78">
            <v>28320</v>
          </cell>
          <cell r="J78" t="str">
            <v>Fidelity</v>
          </cell>
          <cell r="K78">
            <v>1</v>
          </cell>
          <cell r="L78">
            <v>717696.605675</v>
          </cell>
          <cell r="M78">
            <v>717696.605675</v>
          </cell>
          <cell r="N78">
            <v>30006.37793200009</v>
          </cell>
          <cell r="O78">
            <v>17.009900000000002</v>
          </cell>
          <cell r="P78">
            <v>43956.93</v>
          </cell>
          <cell r="Q78">
            <v>42326.75</v>
          </cell>
          <cell r="R78">
            <v>27729.198782000007</v>
          </cell>
        </row>
        <row r="79">
          <cell r="A79" t="str">
            <v>FIL15</v>
          </cell>
          <cell r="B79" t="str">
            <v>Fidelity India</v>
          </cell>
          <cell r="C79" t="str">
            <v>Equity - Global</v>
          </cell>
          <cell r="E79" t="str">
            <v>FIL15</v>
          </cell>
          <cell r="F79" t="str">
            <v>1.20%</v>
          </cell>
          <cell r="G79">
            <v>42422</v>
          </cell>
          <cell r="H79">
            <v>10279554.992588002</v>
          </cell>
          <cell r="I79">
            <v>102000</v>
          </cell>
          <cell r="J79" t="str">
            <v>Fidelity</v>
          </cell>
          <cell r="K79">
            <v>5</v>
          </cell>
          <cell r="L79">
            <v>10072770.558168</v>
          </cell>
          <cell r="M79">
            <v>10072770.558168</v>
          </cell>
          <cell r="N79">
            <v>206784.43442000262</v>
          </cell>
          <cell r="O79">
            <v>33.357800000000005</v>
          </cell>
          <cell r="P79">
            <v>308160.46000000002</v>
          </cell>
          <cell r="Q79">
            <v>305120.82</v>
          </cell>
          <cell r="R79">
            <v>101395.70319200048</v>
          </cell>
        </row>
        <row r="80">
          <cell r="A80" t="str">
            <v>FIL21</v>
          </cell>
          <cell r="B80" t="str">
            <v>Fidelity Australian Opportunities</v>
          </cell>
          <cell r="C80" t="str">
            <v>Equity - Australia</v>
          </cell>
          <cell r="E80" t="str">
            <v>FIL21</v>
          </cell>
          <cell r="F80" t="str">
            <v>0.85%</v>
          </cell>
          <cell r="G80">
            <v>42422</v>
          </cell>
          <cell r="H80">
            <v>1007468.680617</v>
          </cell>
          <cell r="I80" t="str">
            <v>0</v>
          </cell>
          <cell r="J80" t="str">
            <v>Fidelity</v>
          </cell>
          <cell r="K80" t="str">
            <v>0</v>
          </cell>
          <cell r="L80">
            <v>979321.38289400004</v>
          </cell>
          <cell r="M80">
            <v>979321.38289400004</v>
          </cell>
          <cell r="N80">
            <v>28147.297722999938</v>
          </cell>
          <cell r="O80">
            <v>16.9407</v>
          </cell>
          <cell r="P80">
            <v>59470.31</v>
          </cell>
          <cell r="Q80">
            <v>59470.31</v>
          </cell>
          <cell r="R80">
            <v>0</v>
          </cell>
        </row>
        <row r="81">
          <cell r="A81" t="str">
            <v>FIL23</v>
          </cell>
          <cell r="B81" t="str">
            <v>Fidelity Global Demographics</v>
          </cell>
          <cell r="C81" t="str">
            <v>Equity - Global</v>
          </cell>
          <cell r="E81" t="str">
            <v>FIL23</v>
          </cell>
          <cell r="F81" t="str">
            <v>1.15%</v>
          </cell>
          <cell r="G81">
            <v>42422</v>
          </cell>
          <cell r="H81">
            <v>1148415.231414</v>
          </cell>
          <cell r="I81">
            <v>57943.07</v>
          </cell>
          <cell r="J81" t="str">
            <v>Fidelity</v>
          </cell>
          <cell r="K81">
            <v>3</v>
          </cell>
          <cell r="L81">
            <v>1091939.8973320001</v>
          </cell>
          <cell r="M81">
            <v>1091939.8973320001</v>
          </cell>
          <cell r="N81">
            <v>56475.334081999958</v>
          </cell>
          <cell r="O81">
            <v>21.299299999999999</v>
          </cell>
          <cell r="P81">
            <v>53917.98</v>
          </cell>
          <cell r="Q81">
            <v>51963.98</v>
          </cell>
          <cell r="R81">
            <v>41618.832199999997</v>
          </cell>
        </row>
        <row r="82">
          <cell r="A82" t="str">
            <v>FIL26</v>
          </cell>
          <cell r="B82" t="str">
            <v>Fidelity Future Leaders</v>
          </cell>
          <cell r="C82" t="str">
            <v>Equity - Australia</v>
          </cell>
          <cell r="E82" t="str">
            <v>FIL26</v>
          </cell>
          <cell r="F82" t="str">
            <v>1.20%</v>
          </cell>
          <cell r="G82">
            <v>42422</v>
          </cell>
          <cell r="H82">
            <v>3121070.3856500001</v>
          </cell>
          <cell r="I82">
            <v>237000</v>
          </cell>
          <cell r="J82" t="str">
            <v>Fidelity</v>
          </cell>
          <cell r="K82">
            <v>8</v>
          </cell>
          <cell r="L82">
            <v>2812620.0290759997</v>
          </cell>
          <cell r="M82">
            <v>2812620.0290759997</v>
          </cell>
          <cell r="N82">
            <v>308450.35657400033</v>
          </cell>
          <cell r="O82">
            <v>19.5002</v>
          </cell>
          <cell r="P82">
            <v>160053.25</v>
          </cell>
          <cell r="Q82">
            <v>147992.13</v>
          </cell>
          <cell r="R82">
            <v>235194.25222399991</v>
          </cell>
        </row>
        <row r="83">
          <cell r="A83" t="str">
            <v>FIL31</v>
          </cell>
          <cell r="B83" t="str">
            <v>Fidelity Global Emerging Markets</v>
          </cell>
          <cell r="C83" t="str">
            <v>Equity - Global</v>
          </cell>
          <cell r="E83" t="str">
            <v>FIL31</v>
          </cell>
          <cell r="F83" t="str">
            <v>1.34%</v>
          </cell>
          <cell r="G83">
            <v>42422</v>
          </cell>
          <cell r="H83">
            <v>321043.19417500001</v>
          </cell>
          <cell r="I83">
            <v>44500</v>
          </cell>
          <cell r="J83" t="str">
            <v>Fidelity</v>
          </cell>
          <cell r="K83">
            <v>1</v>
          </cell>
          <cell r="L83">
            <v>279712.99824100005</v>
          </cell>
          <cell r="M83">
            <v>279712.99824100005</v>
          </cell>
          <cell r="N83">
            <v>41330.195933999959</v>
          </cell>
          <cell r="O83">
            <v>14.7475</v>
          </cell>
          <cell r="P83">
            <v>21769.33</v>
          </cell>
          <cell r="Q83">
            <v>18821.57</v>
          </cell>
          <cell r="R83">
            <v>43472.090600000032</v>
          </cell>
        </row>
        <row r="84">
          <cell r="A84" t="str">
            <v>FIL52</v>
          </cell>
          <cell r="B84" t="str">
            <v>Fidelity FIRST Global Fund</v>
          </cell>
          <cell r="C84" t="str">
            <v>Equity - Global</v>
          </cell>
          <cell r="E84" t="str">
            <v>FIL52</v>
          </cell>
          <cell r="F84" t="str">
            <v>1.15%</v>
          </cell>
          <cell r="G84">
            <v>42851</v>
          </cell>
          <cell r="H84">
            <v>0</v>
          </cell>
          <cell r="I84" t="str">
            <v>0</v>
          </cell>
          <cell r="J84" t="str">
            <v>Fidelity</v>
          </cell>
          <cell r="K84" t="str">
            <v>0</v>
          </cell>
          <cell r="L84">
            <v>0</v>
          </cell>
          <cell r="M84">
            <v>0</v>
          </cell>
          <cell r="N84">
            <v>0</v>
          </cell>
          <cell r="O84">
            <v>11.1592</v>
          </cell>
          <cell r="P84">
            <v>0</v>
          </cell>
          <cell r="Q84">
            <v>0</v>
          </cell>
          <cell r="R84">
            <v>0</v>
          </cell>
        </row>
        <row r="85">
          <cell r="A85" t="str">
            <v>FEC01</v>
          </cell>
          <cell r="B85" t="str">
            <v>Flinders Emerging Companies B</v>
          </cell>
          <cell r="C85" t="str">
            <v>Equity - Australia</v>
          </cell>
          <cell r="E85" t="str">
            <v>FEC01</v>
          </cell>
          <cell r="F85" t="str">
            <v>1.20%</v>
          </cell>
          <cell r="G85">
            <v>42296</v>
          </cell>
          <cell r="H85">
            <v>875231.12096663995</v>
          </cell>
          <cell r="I85" t="str">
            <v>0</v>
          </cell>
          <cell r="J85" t="str">
            <v>Flinders</v>
          </cell>
          <cell r="K85" t="str">
            <v>0</v>
          </cell>
          <cell r="L85">
            <v>866614.73028601985</v>
          </cell>
          <cell r="M85">
            <v>866614.73028601985</v>
          </cell>
          <cell r="N85">
            <v>8616.3906806200976</v>
          </cell>
          <cell r="O85">
            <v>1.4424000000000001</v>
          </cell>
          <cell r="P85">
            <v>606788.07609999995</v>
          </cell>
          <cell r="Q85">
            <v>606788.07609999995</v>
          </cell>
          <cell r="R85">
            <v>0</v>
          </cell>
        </row>
        <row r="86">
          <cell r="A86" t="str">
            <v>GSF01</v>
          </cell>
          <cell r="B86" t="str">
            <v>Grant Samuel Epoch Global Equity Shareholder Yield Hedged</v>
          </cell>
          <cell r="C86" t="str">
            <v>Equity - Global</v>
          </cell>
          <cell r="E86" t="str">
            <v>GSF01</v>
          </cell>
          <cell r="F86" t="str">
            <v>1.30%</v>
          </cell>
          <cell r="G86">
            <v>43166</v>
          </cell>
          <cell r="H86">
            <v>105255.09914000001</v>
          </cell>
          <cell r="I86">
            <v>61500</v>
          </cell>
          <cell r="J86" t="str">
            <v>Epoch</v>
          </cell>
          <cell r="K86">
            <v>1</v>
          </cell>
          <cell r="L86">
            <v>43988.535044999997</v>
          </cell>
          <cell r="M86">
            <v>43988.535044999997</v>
          </cell>
          <cell r="N86">
            <v>61266.564095000009</v>
          </cell>
          <cell r="O86">
            <v>0.77900000000000003</v>
          </cell>
          <cell r="P86">
            <v>135115.66</v>
          </cell>
          <cell r="Q86">
            <v>56869.47</v>
          </cell>
          <cell r="R86">
            <v>60953.782010000003</v>
          </cell>
        </row>
        <row r="87">
          <cell r="A87" t="str">
            <v>GSF02</v>
          </cell>
          <cell r="B87" t="str">
            <v>Grant Samuel Epoch Global Equity Shareholder Yield (Unhedged)</v>
          </cell>
          <cell r="C87" t="str">
            <v>Equity - Global</v>
          </cell>
          <cell r="E87" t="str">
            <v>GSF02</v>
          </cell>
          <cell r="F87" t="str">
            <v>1.25%</v>
          </cell>
          <cell r="G87">
            <v>43166</v>
          </cell>
          <cell r="H87">
            <v>137862.28528800001</v>
          </cell>
          <cell r="I87">
            <v>22000</v>
          </cell>
          <cell r="J87" t="str">
            <v>Epoch</v>
          </cell>
          <cell r="K87">
            <v>1</v>
          </cell>
          <cell r="L87">
            <v>112168.348474</v>
          </cell>
          <cell r="M87">
            <v>112168.348474</v>
          </cell>
          <cell r="N87">
            <v>25693.936814000015</v>
          </cell>
          <cell r="O87">
            <v>1.3286000000000002</v>
          </cell>
          <cell r="P87">
            <v>103765.07999999999</v>
          </cell>
          <cell r="Q87">
            <v>86804.17</v>
          </cell>
          <cell r="R87">
            <v>22534.26502599999</v>
          </cell>
        </row>
        <row r="88">
          <cell r="A88" t="str">
            <v>NWG01</v>
          </cell>
          <cell r="B88" t="str">
            <v>Janus Henderson Global Natural Resources Fund</v>
          </cell>
          <cell r="C88" t="str">
            <v>Equity - Global</v>
          </cell>
          <cell r="E88" t="str">
            <v>NWG01</v>
          </cell>
          <cell r="F88" t="str">
            <v>1.36%</v>
          </cell>
          <cell r="G88">
            <v>41766</v>
          </cell>
          <cell r="H88">
            <v>1371914.9239084802</v>
          </cell>
          <cell r="I88">
            <v>139556.84</v>
          </cell>
          <cell r="J88" t="str">
            <v>Janus Henderson</v>
          </cell>
          <cell r="K88">
            <v>2</v>
          </cell>
          <cell r="L88">
            <v>1289377.06064433</v>
          </cell>
          <cell r="M88">
            <v>1289377.06064433</v>
          </cell>
          <cell r="N88">
            <v>82537.863264150219</v>
          </cell>
          <cell r="O88">
            <v>1.5712000000000002</v>
          </cell>
          <cell r="P88">
            <v>873163.77540000004</v>
          </cell>
          <cell r="Q88">
            <v>833954.50529999996</v>
          </cell>
          <cell r="R88">
            <v>61605.605181120132</v>
          </cell>
        </row>
        <row r="89">
          <cell r="A89" t="str">
            <v>HYN01</v>
          </cell>
          <cell r="B89" t="str">
            <v>Hyperion Australian Growth Companies</v>
          </cell>
          <cell r="C89" t="str">
            <v>Equity - Australia</v>
          </cell>
          <cell r="E89" t="str">
            <v>HYN01</v>
          </cell>
          <cell r="F89" t="str">
            <v>0.95%</v>
          </cell>
          <cell r="G89">
            <v>42061</v>
          </cell>
          <cell r="H89">
            <v>12428583.024337919</v>
          </cell>
          <cell r="I89" t="str">
            <v>0</v>
          </cell>
          <cell r="J89" t="str">
            <v>Hyperion</v>
          </cell>
          <cell r="K89" t="str">
            <v>0</v>
          </cell>
          <cell r="L89">
            <v>12014087.689005621</v>
          </cell>
          <cell r="M89">
            <v>12014087.689005621</v>
          </cell>
          <cell r="N89">
            <v>414495.33533229865</v>
          </cell>
          <cell r="O89">
            <v>3.9863999999999997</v>
          </cell>
          <cell r="P89">
            <v>3117746.0928000002</v>
          </cell>
          <cell r="Q89">
            <v>3143567.8709</v>
          </cell>
          <cell r="R89">
            <v>-102935.93621783904</v>
          </cell>
        </row>
        <row r="90">
          <cell r="A90" t="str">
            <v>HYN02</v>
          </cell>
          <cell r="B90" t="str">
            <v>Hyperion Small Growth Companies</v>
          </cell>
          <cell r="C90" t="str">
            <v>Equity - Australia</v>
          </cell>
          <cell r="E90" t="str">
            <v>HYN02</v>
          </cell>
          <cell r="F90" t="str">
            <v>1.25%</v>
          </cell>
          <cell r="G90">
            <v>42061</v>
          </cell>
          <cell r="H90">
            <v>1048084.6688867201</v>
          </cell>
          <cell r="I90" t="str">
            <v>0</v>
          </cell>
          <cell r="J90" t="str">
            <v>Hyperion</v>
          </cell>
          <cell r="K90" t="str">
            <v>0</v>
          </cell>
          <cell r="L90">
            <v>1018839.4404188201</v>
          </cell>
          <cell r="M90">
            <v>1018839.4404188201</v>
          </cell>
          <cell r="N90">
            <v>29245.228467899957</v>
          </cell>
          <cell r="O90">
            <v>5.2144000000000004</v>
          </cell>
          <cell r="P90">
            <v>200998.13380000001</v>
          </cell>
          <cell r="Q90">
            <v>200998.13380000001</v>
          </cell>
          <cell r="R90">
            <v>0</v>
          </cell>
        </row>
        <row r="91">
          <cell r="A91" t="str">
            <v>HYN03</v>
          </cell>
          <cell r="B91" t="str">
            <v>Hyperion Global Growth Companies</v>
          </cell>
          <cell r="C91" t="str">
            <v>Equity - Global</v>
          </cell>
          <cell r="E91" t="str">
            <v>HYN03</v>
          </cell>
          <cell r="F91" t="str">
            <v>1.15%</v>
          </cell>
          <cell r="G91">
            <v>42695</v>
          </cell>
          <cell r="H91">
            <v>626804.94842120004</v>
          </cell>
          <cell r="I91" t="str">
            <v>0</v>
          </cell>
          <cell r="J91" t="str">
            <v>Hyperion</v>
          </cell>
          <cell r="K91" t="str">
            <v>0</v>
          </cell>
          <cell r="L91">
            <v>602874.68582240003</v>
          </cell>
          <cell r="M91">
            <v>602874.68582240003</v>
          </cell>
          <cell r="N91">
            <v>23930.262598800007</v>
          </cell>
          <cell r="O91">
            <v>1.4930000000000001</v>
          </cell>
          <cell r="P91">
            <v>419829.16840000002</v>
          </cell>
          <cell r="Q91">
            <v>419829.16840000002</v>
          </cell>
          <cell r="R91">
            <v>0</v>
          </cell>
        </row>
        <row r="92">
          <cell r="A92" t="str">
            <v>HYN04</v>
          </cell>
          <cell r="B92" t="str">
            <v>Hyperion Global Growth Companies Fund (Class B Units)</v>
          </cell>
          <cell r="C92" t="str">
            <v>Equity - Global</v>
          </cell>
          <cell r="E92" t="str">
            <v>HYN04</v>
          </cell>
          <cell r="F92">
            <v>1.04E-2</v>
          </cell>
          <cell r="G92">
            <v>43143</v>
          </cell>
          <cell r="H92">
            <v>441014.03629361995</v>
          </cell>
          <cell r="I92">
            <v>145000</v>
          </cell>
          <cell r="J92" t="str">
            <v>Hyperion</v>
          </cell>
          <cell r="K92">
            <v>4</v>
          </cell>
          <cell r="L92">
            <v>282604.14813833998</v>
          </cell>
          <cell r="M92">
            <v>282604.14813833998</v>
          </cell>
          <cell r="N92">
            <v>158409.88815527997</v>
          </cell>
          <cell r="O92">
            <v>2.1221999999999999</v>
          </cell>
          <cell r="P92">
            <v>207809.8371</v>
          </cell>
          <cell r="Q92">
            <v>139309.94190000001</v>
          </cell>
          <cell r="R92">
            <v>145370.47759343998</v>
          </cell>
        </row>
        <row r="93">
          <cell r="A93" t="str">
            <v>INS01</v>
          </cell>
          <cell r="B93" t="str">
            <v>Insync Global Titans</v>
          </cell>
          <cell r="C93" t="str">
            <v>Equity - Global</v>
          </cell>
          <cell r="E93" t="str">
            <v>INS01</v>
          </cell>
          <cell r="F93" t="str">
            <v>1.34%</v>
          </cell>
          <cell r="G93">
            <v>41912</v>
          </cell>
          <cell r="H93">
            <v>7659536.1255517509</v>
          </cell>
          <cell r="I93">
            <v>210000</v>
          </cell>
          <cell r="J93" t="str">
            <v>Insync</v>
          </cell>
          <cell r="K93">
            <v>4</v>
          </cell>
          <cell r="L93">
            <v>7196137.7635435201</v>
          </cell>
          <cell r="M93">
            <v>7196137.7635435201</v>
          </cell>
          <cell r="N93">
            <v>463398.36200823076</v>
          </cell>
          <cell r="O93">
            <v>2.0295000000000001</v>
          </cell>
          <cell r="P93">
            <v>3774100.0865000002</v>
          </cell>
          <cell r="Q93">
            <v>3670000.8994</v>
          </cell>
          <cell r="R93">
            <v>211269.30021945044</v>
          </cell>
        </row>
        <row r="94">
          <cell r="A94" t="str">
            <v>INT01</v>
          </cell>
          <cell r="B94" t="str">
            <v>Intermede Global Equities</v>
          </cell>
          <cell r="C94" t="str">
            <v>Equity - Global</v>
          </cell>
          <cell r="E94" t="str">
            <v>INT01</v>
          </cell>
          <cell r="F94" t="str">
            <v>0.99%</v>
          </cell>
          <cell r="G94">
            <v>42709</v>
          </cell>
          <cell r="H94">
            <v>139696.91905798079</v>
          </cell>
          <cell r="I94" t="str">
            <v>0</v>
          </cell>
          <cell r="J94" t="str">
            <v>Intermede</v>
          </cell>
          <cell r="K94" t="str">
            <v>0</v>
          </cell>
          <cell r="L94">
            <v>136484.22186186162</v>
          </cell>
          <cell r="M94">
            <v>136484.22186186162</v>
          </cell>
          <cell r="N94">
            <v>3212.6971961191739</v>
          </cell>
          <cell r="O94">
            <v>1.3652279999999999</v>
          </cell>
          <cell r="P94">
            <v>102324.9736</v>
          </cell>
          <cell r="Q94">
            <v>102324.9736</v>
          </cell>
          <cell r="R94">
            <v>0</v>
          </cell>
        </row>
        <row r="95">
          <cell r="A95" t="str">
            <v>IAL02</v>
          </cell>
          <cell r="B95" t="str">
            <v xml:space="preserve">Invesco Wholesale Global Matrix Fund - unhedged </v>
          </cell>
          <cell r="C95" t="str">
            <v>Equity - Global</v>
          </cell>
          <cell r="E95" t="str">
            <v>IAL02</v>
          </cell>
          <cell r="F95" t="str">
            <v>0.95%</v>
          </cell>
          <cell r="G95">
            <v>42248</v>
          </cell>
          <cell r="H95">
            <v>2203356.9983199001</v>
          </cell>
          <cell r="I95">
            <v>160000</v>
          </cell>
          <cell r="J95" t="str">
            <v>Invesco</v>
          </cell>
          <cell r="K95">
            <v>4</v>
          </cell>
          <cell r="L95">
            <v>1997021.87796</v>
          </cell>
          <cell r="M95">
            <v>1997021.87796</v>
          </cell>
          <cell r="N95">
            <v>206335.12035990017</v>
          </cell>
          <cell r="O95">
            <v>0.60329999999999995</v>
          </cell>
          <cell r="P95">
            <v>3652174.7030000007</v>
          </cell>
          <cell r="Q95">
            <v>3384782.844</v>
          </cell>
          <cell r="R95">
            <v>161317.50853470038</v>
          </cell>
        </row>
        <row r="96">
          <cell r="A96" t="str">
            <v>IAL05</v>
          </cell>
          <cell r="B96" t="str">
            <v xml:space="preserve">Invesco Wholesale Senior Secured Income Fund </v>
          </cell>
          <cell r="C96" t="str">
            <v>Fixed Income - Global</v>
          </cell>
          <cell r="E96" t="str">
            <v>IAL05</v>
          </cell>
          <cell r="F96" t="str">
            <v>0.75%</v>
          </cell>
          <cell r="G96">
            <v>42248</v>
          </cell>
          <cell r="H96">
            <v>990933.00731210003</v>
          </cell>
          <cell r="I96">
            <v>875.98</v>
          </cell>
          <cell r="J96" t="str">
            <v>Invesco</v>
          </cell>
          <cell r="K96">
            <v>3</v>
          </cell>
          <cell r="L96">
            <v>994369.32301519986</v>
          </cell>
          <cell r="M96">
            <v>994369.32301519986</v>
          </cell>
          <cell r="N96">
            <v>-3436.3157030998264</v>
          </cell>
          <cell r="O96">
            <v>1.2179</v>
          </cell>
          <cell r="P96">
            <v>813640.69900000002</v>
          </cell>
          <cell r="Q96">
            <v>812924.56099999999</v>
          </cell>
          <cell r="R96">
            <v>872.18447020004305</v>
          </cell>
        </row>
        <row r="97">
          <cell r="A97" t="str">
            <v>IAL08</v>
          </cell>
          <cell r="B97" t="str">
            <v xml:space="preserve">Invesco Wholesale Global Matrix Fund - hedged - Class A </v>
          </cell>
          <cell r="C97" t="str">
            <v>Equity - Global</v>
          </cell>
          <cell r="E97" t="str">
            <v>IAL08</v>
          </cell>
          <cell r="F97" t="str">
            <v>0.75%</v>
          </cell>
          <cell r="G97">
            <v>42248</v>
          </cell>
          <cell r="H97">
            <v>843540.75394239987</v>
          </cell>
          <cell r="I97">
            <v>84320.260000000009</v>
          </cell>
          <cell r="J97" t="str">
            <v>Invesco</v>
          </cell>
          <cell r="K97">
            <v>2</v>
          </cell>
          <cell r="L97">
            <v>925422.34658599994</v>
          </cell>
          <cell r="M97">
            <v>925422.34658599994</v>
          </cell>
          <cell r="N97">
            <v>-81881.592643600074</v>
          </cell>
          <cell r="O97">
            <v>0.78069999999999995</v>
          </cell>
          <cell r="P97">
            <v>1080492.8319999999</v>
          </cell>
          <cell r="Q97">
            <v>1187961.9339999999</v>
          </cell>
          <cell r="R97">
            <v>-83901.127931399955</v>
          </cell>
        </row>
        <row r="98">
          <cell r="A98" t="str">
            <v>IAL11</v>
          </cell>
          <cell r="B98" t="str">
            <v xml:space="preserve">Invesco Wholesale Australian Share Fund </v>
          </cell>
          <cell r="C98" t="str">
            <v>Equity - Australia</v>
          </cell>
          <cell r="E98" t="str">
            <v>IAL11</v>
          </cell>
          <cell r="F98" t="str">
            <v>0.88%</v>
          </cell>
          <cell r="G98">
            <v>42248</v>
          </cell>
          <cell r="H98">
            <v>22350.350827999999</v>
          </cell>
          <cell r="I98" t="str">
            <v>0</v>
          </cell>
          <cell r="J98" t="str">
            <v>Invesco</v>
          </cell>
          <cell r="K98" t="str">
            <v>0</v>
          </cell>
          <cell r="L98">
            <v>21564.104902999999</v>
          </cell>
          <cell r="M98">
            <v>21564.104902999999</v>
          </cell>
          <cell r="N98">
            <v>786.24592499999926</v>
          </cell>
          <cell r="O98">
            <v>1.0659999999999998</v>
          </cell>
          <cell r="P98">
            <v>20966.558000000001</v>
          </cell>
          <cell r="Q98">
            <v>20966.558000000001</v>
          </cell>
          <cell r="R98">
            <v>0</v>
          </cell>
        </row>
        <row r="99">
          <cell r="A99" t="str">
            <v>IAL12</v>
          </cell>
          <cell r="B99" t="str">
            <v>Invesco Wholesale Australian Smaller Companies Fund – Class A</v>
          </cell>
          <cell r="C99" t="str">
            <v>Equity - Australia</v>
          </cell>
          <cell r="E99" t="str">
            <v>IAL12</v>
          </cell>
          <cell r="F99" t="str">
            <v>1.25%</v>
          </cell>
          <cell r="G99">
            <v>42248</v>
          </cell>
          <cell r="H99">
            <v>0</v>
          </cell>
          <cell r="I99" t="str">
            <v>0</v>
          </cell>
          <cell r="J99" t="str">
            <v>Invesco</v>
          </cell>
          <cell r="K99" t="str">
            <v>0</v>
          </cell>
          <cell r="L99">
            <v>0</v>
          </cell>
          <cell r="M99">
            <v>0</v>
          </cell>
          <cell r="N99">
            <v>0</v>
          </cell>
          <cell r="O99">
            <v>2.9624999999999999</v>
          </cell>
          <cell r="P99">
            <v>0</v>
          </cell>
          <cell r="Q99">
            <v>0</v>
          </cell>
          <cell r="R99">
            <v>0</v>
          </cell>
        </row>
        <row r="100">
          <cell r="A100" t="str">
            <v>IAL18</v>
          </cell>
          <cell r="B100" t="str">
            <v>Invesco Wholesale Global Targeted Returns Fund - Class A</v>
          </cell>
          <cell r="C100" t="str">
            <v>Mixed</v>
          </cell>
          <cell r="E100" t="str">
            <v>IAL18</v>
          </cell>
          <cell r="F100" t="str">
            <v>0.95%</v>
          </cell>
          <cell r="G100">
            <v>42916</v>
          </cell>
          <cell r="H100">
            <v>1551894.0268428</v>
          </cell>
          <cell r="I100">
            <v>235228.51</v>
          </cell>
          <cell r="J100" t="str">
            <v>Invesco</v>
          </cell>
          <cell r="K100">
            <v>8</v>
          </cell>
          <cell r="L100">
            <v>1359713.8265823999</v>
          </cell>
          <cell r="M100">
            <v>1359713.8265823999</v>
          </cell>
          <cell r="N100">
            <v>192180.20026040007</v>
          </cell>
          <cell r="O100">
            <v>1.0307999999999999</v>
          </cell>
          <cell r="P100">
            <v>1505523.8910000001</v>
          </cell>
          <cell r="Q100">
            <v>1321650.298</v>
          </cell>
          <cell r="R100">
            <v>189536.89966440012</v>
          </cell>
        </row>
        <row r="101">
          <cell r="A101" t="str">
            <v>IAL41</v>
          </cell>
          <cell r="B101" t="str">
            <v xml:space="preserve">Invesco Wholesale Global Property Securities Fund – hedged - Class A </v>
          </cell>
          <cell r="C101" t="str">
            <v>Property - Australia</v>
          </cell>
          <cell r="E101" t="str">
            <v>IAL41</v>
          </cell>
          <cell r="F101" t="str">
            <v>0.95%</v>
          </cell>
          <cell r="G101">
            <v>42248</v>
          </cell>
          <cell r="H101">
            <v>21463.675276999998</v>
          </cell>
          <cell r="I101">
            <v>712.63</v>
          </cell>
          <cell r="J101" t="str">
            <v>Invesco</v>
          </cell>
          <cell r="K101">
            <v>1</v>
          </cell>
          <cell r="L101">
            <v>20988.757958400001</v>
          </cell>
          <cell r="M101">
            <v>20988.757958400001</v>
          </cell>
          <cell r="N101">
            <v>474.91731859999709</v>
          </cell>
          <cell r="O101">
            <v>1.2429999999999999</v>
          </cell>
          <cell r="P101">
            <v>17267.638999999999</v>
          </cell>
          <cell r="Q101">
            <v>16689.534</v>
          </cell>
          <cell r="R101">
            <v>718.58451499999944</v>
          </cell>
        </row>
        <row r="102">
          <cell r="A102" t="str">
            <v>ACC01</v>
          </cell>
          <cell r="B102" t="str">
            <v>IPAC AMP Capital Income Generator</v>
          </cell>
          <cell r="C102" t="str">
            <v>Mixed</v>
          </cell>
          <cell r="E102" t="str">
            <v>ACC01</v>
          </cell>
          <cell r="F102" t="str">
            <v>0.79%</v>
          </cell>
          <cell r="G102">
            <v>41981</v>
          </cell>
          <cell r="H102">
            <v>1934598.0902179999</v>
          </cell>
          <cell r="I102" t="str">
            <v>0</v>
          </cell>
          <cell r="J102" t="str">
            <v>ipac</v>
          </cell>
          <cell r="K102" t="str">
            <v>0</v>
          </cell>
          <cell r="L102">
            <v>1917046.6237390002</v>
          </cell>
          <cell r="M102">
            <v>1917046.6237390002</v>
          </cell>
          <cell r="N102">
            <v>17551.466478999704</v>
          </cell>
          <cell r="O102">
            <v>1.1794</v>
          </cell>
          <cell r="P102">
            <v>1640323.97</v>
          </cell>
          <cell r="Q102">
            <v>1640323.97</v>
          </cell>
          <cell r="R102">
            <v>0</v>
          </cell>
        </row>
        <row r="103">
          <cell r="A103" t="str">
            <v>JHI02</v>
          </cell>
          <cell r="B103" t="str">
            <v>Janus Henderson Tactical Income Fund</v>
          </cell>
          <cell r="C103" t="str">
            <v>Fixed Income - Australia</v>
          </cell>
          <cell r="E103" t="str">
            <v>JHI02</v>
          </cell>
          <cell r="F103" t="str">
            <v>0.45%</v>
          </cell>
          <cell r="G103">
            <v>43007</v>
          </cell>
          <cell r="H103">
            <v>3187377.89269904</v>
          </cell>
          <cell r="I103">
            <v>650000</v>
          </cell>
          <cell r="J103" t="str">
            <v>Janus Henderson</v>
          </cell>
          <cell r="K103">
            <v>11</v>
          </cell>
          <cell r="L103">
            <v>2529818.9397752699</v>
          </cell>
          <cell r="M103">
            <v>2529818.9397752699</v>
          </cell>
          <cell r="N103">
            <v>657558.95292377006</v>
          </cell>
          <cell r="O103">
            <v>1.0687</v>
          </cell>
          <cell r="P103">
            <v>2982481.4191999999</v>
          </cell>
          <cell r="Q103">
            <v>2373411.1453</v>
          </cell>
          <cell r="R103">
            <v>650913.40171692986</v>
          </cell>
        </row>
        <row r="104">
          <cell r="A104" t="str">
            <v>JPM01</v>
          </cell>
          <cell r="B104" t="str">
            <v xml:space="preserve">JPMorgan Global Strategic Bond Fund </v>
          </cell>
          <cell r="C104" t="str">
            <v>Fixed Income - Global</v>
          </cell>
          <cell r="E104" t="str">
            <v>JPM01</v>
          </cell>
          <cell r="F104" t="str">
            <v>0.60%</v>
          </cell>
          <cell r="G104">
            <v>42445</v>
          </cell>
          <cell r="H104">
            <v>3502917.60244512</v>
          </cell>
          <cell r="I104">
            <v>96062.75</v>
          </cell>
          <cell r="J104" t="str">
            <v>JP Morgan</v>
          </cell>
          <cell r="K104">
            <v>3</v>
          </cell>
          <cell r="L104">
            <v>3576092.9027009998</v>
          </cell>
          <cell r="M104">
            <v>3576092.9027009998</v>
          </cell>
          <cell r="N104">
            <v>-73175.30025587976</v>
          </cell>
          <cell r="O104">
            <v>1.0237000000000001</v>
          </cell>
          <cell r="P104">
            <v>3421820.4575999998</v>
          </cell>
          <cell r="Q104">
            <v>3495691.9870000002</v>
          </cell>
          <cell r="R104">
            <v>-75622.284646780361</v>
          </cell>
        </row>
        <row r="105">
          <cell r="A105" t="str">
            <v>JPM02</v>
          </cell>
          <cell r="B105" t="str">
            <v xml:space="preserve">JPMorgan Global Bond Opportunities Fund </v>
          </cell>
          <cell r="C105" t="str">
            <v>Fixed Income - Global</v>
          </cell>
          <cell r="E105" t="str">
            <v>JPM02</v>
          </cell>
          <cell r="F105" t="str">
            <v>0.75%</v>
          </cell>
          <cell r="G105">
            <v>42445</v>
          </cell>
          <cell r="H105">
            <v>235179.2710526</v>
          </cell>
          <cell r="I105" t="str">
            <v>0</v>
          </cell>
          <cell r="J105" t="str">
            <v>JP Morgan</v>
          </cell>
          <cell r="K105" t="str">
            <v>0</v>
          </cell>
          <cell r="L105">
            <v>236216.0643122</v>
          </cell>
          <cell r="M105">
            <v>236216.0643122</v>
          </cell>
          <cell r="N105">
            <v>-1036.7932596000028</v>
          </cell>
          <cell r="O105">
            <v>0.95269999999999999</v>
          </cell>
          <cell r="P105">
            <v>246855.538</v>
          </cell>
          <cell r="Q105">
            <v>246855.538</v>
          </cell>
          <cell r="R105">
            <v>0</v>
          </cell>
        </row>
        <row r="106">
          <cell r="A106" t="str">
            <v>JPM03</v>
          </cell>
          <cell r="B106" t="str">
            <v xml:space="preserve">JPMorgan Global Bond Fund </v>
          </cell>
          <cell r="C106" t="str">
            <v>Fixed Income - Global</v>
          </cell>
          <cell r="E106" t="str">
            <v>JPM03</v>
          </cell>
          <cell r="F106" t="str">
            <v>0.50%</v>
          </cell>
          <cell r="G106">
            <v>42445</v>
          </cell>
          <cell r="H106">
            <v>0</v>
          </cell>
          <cell r="I106" t="str">
            <v>0</v>
          </cell>
          <cell r="J106" t="str">
            <v>JP Morgan</v>
          </cell>
          <cell r="K106" t="str">
            <v>0</v>
          </cell>
          <cell r="L106">
            <v>0</v>
          </cell>
          <cell r="M106">
            <v>0</v>
          </cell>
          <cell r="N106">
            <v>0</v>
          </cell>
          <cell r="O106">
            <v>0.99590000000000001</v>
          </cell>
          <cell r="P106">
            <v>0</v>
          </cell>
          <cell r="Q106">
            <v>0</v>
          </cell>
          <cell r="R106">
            <v>0</v>
          </cell>
        </row>
        <row r="107">
          <cell r="A107" t="str">
            <v>JPM05</v>
          </cell>
          <cell r="B107" t="str">
            <v xml:space="preserve">JPMorgan Global Research Enhanced Index Equity Fund </v>
          </cell>
          <cell r="C107" t="str">
            <v>Equity - Global</v>
          </cell>
          <cell r="E107" t="str">
            <v>JPM05</v>
          </cell>
          <cell r="F107" t="str">
            <v>0.20%</v>
          </cell>
          <cell r="G107">
            <v>42445</v>
          </cell>
          <cell r="H107">
            <v>82288.612915200007</v>
          </cell>
          <cell r="I107" t="str">
            <v>0</v>
          </cell>
          <cell r="J107" t="str">
            <v>JP Morgan</v>
          </cell>
          <cell r="K107" t="str">
            <v>0</v>
          </cell>
          <cell r="L107">
            <v>80217.632769599993</v>
          </cell>
          <cell r="M107">
            <v>80217.632769599993</v>
          </cell>
          <cell r="N107">
            <v>2070.9801456000132</v>
          </cell>
          <cell r="O107">
            <v>1.3152000000000001</v>
          </cell>
          <cell r="P107">
            <v>62567.375999999997</v>
          </cell>
          <cell r="Q107">
            <v>62567.375999999997</v>
          </cell>
          <cell r="R107">
            <v>0</v>
          </cell>
        </row>
        <row r="108">
          <cell r="A108" t="str">
            <v>JPM06</v>
          </cell>
          <cell r="B108" t="str">
            <v>JPMorgan Global Research Enhanced Index Equity Fund (Hedged)</v>
          </cell>
          <cell r="C108" t="str">
            <v>Equity - Global</v>
          </cell>
          <cell r="E108" t="str">
            <v>JPM06</v>
          </cell>
          <cell r="F108" t="str">
            <v>0.20%</v>
          </cell>
          <cell r="G108">
            <v>42445</v>
          </cell>
          <cell r="H108">
            <v>596684.62496796995</v>
          </cell>
          <cell r="I108" t="str">
            <v>0</v>
          </cell>
          <cell r="J108" t="str">
            <v>JP Morgan</v>
          </cell>
          <cell r="K108" t="str">
            <v>0</v>
          </cell>
          <cell r="L108">
            <v>715286.1687275701</v>
          </cell>
          <cell r="M108">
            <v>715286.1687275701</v>
          </cell>
          <cell r="N108">
            <v>-118601.54375960014</v>
          </cell>
          <cell r="O108">
            <v>1.2643</v>
          </cell>
          <cell r="P108">
            <v>471948.60789999994</v>
          </cell>
          <cell r="Q108">
            <v>568906.5209</v>
          </cell>
          <cell r="R108">
            <v>-122583.88940590007</v>
          </cell>
        </row>
        <row r="109">
          <cell r="A109" t="str">
            <v>JPM07</v>
          </cell>
          <cell r="B109" t="str">
            <v xml:space="preserve">JPMorgan Emerging Markets Opportunities Fund </v>
          </cell>
          <cell r="C109" t="str">
            <v>Equity - Global</v>
          </cell>
          <cell r="E109" t="str">
            <v>JPM07</v>
          </cell>
          <cell r="F109" t="str">
            <v>1.35%</v>
          </cell>
          <cell r="G109">
            <v>42445</v>
          </cell>
          <cell r="H109">
            <v>371552.65605329996</v>
          </cell>
          <cell r="I109">
            <v>133248.38</v>
          </cell>
          <cell r="J109" t="str">
            <v>JP Morgan</v>
          </cell>
          <cell r="K109">
            <v>3</v>
          </cell>
          <cell r="L109">
            <v>504495.16727799998</v>
          </cell>
          <cell r="M109">
            <v>504495.16727799998</v>
          </cell>
          <cell r="N109">
            <v>-132942.51122470002</v>
          </cell>
          <cell r="O109">
            <v>1.4666999999999999</v>
          </cell>
          <cell r="P109">
            <v>253325.59899999999</v>
          </cell>
          <cell r="Q109">
            <v>342657.86</v>
          </cell>
          <cell r="R109">
            <v>-131023.62720869998</v>
          </cell>
        </row>
        <row r="110">
          <cell r="A110" t="str">
            <v>JPM09</v>
          </cell>
          <cell r="B110" t="str">
            <v xml:space="preserve">JPMorgan Systematic Alpha Fund </v>
          </cell>
          <cell r="C110" t="str">
            <v>Mixed</v>
          </cell>
          <cell r="E110" t="str">
            <v>JPM09</v>
          </cell>
          <cell r="F110" t="str">
            <v>0.90%</v>
          </cell>
          <cell r="G110">
            <v>42991</v>
          </cell>
          <cell r="H110">
            <v>0</v>
          </cell>
          <cell r="I110" t="str">
            <v>0</v>
          </cell>
          <cell r="J110" t="str">
            <v>JP Morgan</v>
          </cell>
          <cell r="K110" t="str">
            <v>0</v>
          </cell>
          <cell r="L110">
            <v>0</v>
          </cell>
          <cell r="M110">
            <v>0</v>
          </cell>
          <cell r="N110">
            <v>0</v>
          </cell>
          <cell r="O110">
            <v>0.99730000000000008</v>
          </cell>
          <cell r="P110">
            <v>0</v>
          </cell>
          <cell r="Q110">
            <v>0</v>
          </cell>
          <cell r="R110">
            <v>0</v>
          </cell>
        </row>
        <row r="111">
          <cell r="A111" t="str">
            <v>JPM10</v>
          </cell>
          <cell r="B111" t="str">
            <v xml:space="preserve">JPMorgan Global Macro Opportunities Fund </v>
          </cell>
          <cell r="C111" t="str">
            <v>Mixed</v>
          </cell>
          <cell r="E111" t="str">
            <v>JPM10</v>
          </cell>
          <cell r="F111" t="str">
            <v>0.70%</v>
          </cell>
          <cell r="G111">
            <v>42991</v>
          </cell>
          <cell r="H111">
            <v>464304.43315350002</v>
          </cell>
          <cell r="I111">
            <v>78333.08</v>
          </cell>
          <cell r="J111" t="str">
            <v>JP Morgan</v>
          </cell>
          <cell r="K111">
            <v>2</v>
          </cell>
          <cell r="L111">
            <v>422877.17113650002</v>
          </cell>
          <cell r="M111">
            <v>422877.17113650002</v>
          </cell>
          <cell r="N111">
            <v>41427.262017000001</v>
          </cell>
          <cell r="O111">
            <v>1.1391</v>
          </cell>
          <cell r="P111">
            <v>407606.38500000001</v>
          </cell>
          <cell r="Q111">
            <v>363640.185</v>
          </cell>
          <cell r="R111">
            <v>50081.898420000012</v>
          </cell>
        </row>
        <row r="112">
          <cell r="A112" t="str">
            <v>KAP01</v>
          </cell>
          <cell r="B112" t="str">
            <v>Kapstream Absolute Return Income Fund</v>
          </cell>
          <cell r="C112" t="str">
            <v>Fixed Income - Global</v>
          </cell>
          <cell r="E112" t="str">
            <v>KAP01</v>
          </cell>
          <cell r="F112" t="str">
            <v>0.70%</v>
          </cell>
          <cell r="G112">
            <v>42109</v>
          </cell>
          <cell r="H112">
            <v>27308452.801155753</v>
          </cell>
          <cell r="I112">
            <v>2596323.59</v>
          </cell>
          <cell r="J112" t="str">
            <v>Kapstream</v>
          </cell>
          <cell r="K112">
            <v>36</v>
          </cell>
          <cell r="L112">
            <v>25985242.123143502</v>
          </cell>
          <cell r="M112">
            <v>25985242.123143502</v>
          </cell>
          <cell r="N112">
            <v>1323210.6780122519</v>
          </cell>
          <cell r="O112">
            <v>1.2195</v>
          </cell>
          <cell r="P112">
            <v>22393155.228500001</v>
          </cell>
          <cell r="Q112">
            <v>21343114.680199999</v>
          </cell>
          <cell r="R112">
            <v>1280524.4486518521</v>
          </cell>
        </row>
        <row r="113">
          <cell r="A113" t="str">
            <v>SHF05</v>
          </cell>
          <cell r="B113" t="str">
            <v>SGH LaSalle Global Listed Property Securities</v>
          </cell>
          <cell r="C113" t="str">
            <v>Property - Global</v>
          </cell>
          <cell r="E113" t="str">
            <v>SHF05</v>
          </cell>
          <cell r="F113" t="str">
            <v>1.10%</v>
          </cell>
          <cell r="G113">
            <v>41767</v>
          </cell>
          <cell r="H113">
            <v>178230.09677591998</v>
          </cell>
          <cell r="I113">
            <v>153312.34</v>
          </cell>
          <cell r="J113" t="str">
            <v>LaSalle</v>
          </cell>
          <cell r="K113">
            <v>1</v>
          </cell>
          <cell r="L113">
            <v>326145.41257166996</v>
          </cell>
          <cell r="M113">
            <v>326145.41257166996</v>
          </cell>
          <cell r="N113">
            <v>-147915.31579574998</v>
          </cell>
          <cell r="O113">
            <v>1.3747999999999998</v>
          </cell>
          <cell r="P113">
            <v>129640.74540000001</v>
          </cell>
          <cell r="Q113">
            <v>243373.93669999999</v>
          </cell>
          <cell r="R113">
            <v>-156360.39139923995</v>
          </cell>
        </row>
        <row r="114">
          <cell r="A114" t="str">
            <v>SHF06</v>
          </cell>
          <cell r="B114" t="str">
            <v>SGH LaSalle Global Property Rich</v>
          </cell>
          <cell r="C114" t="str">
            <v>Property - Global</v>
          </cell>
          <cell r="E114" t="str">
            <v>SHF06</v>
          </cell>
          <cell r="F114" t="str">
            <v>0.98%</v>
          </cell>
          <cell r="G114">
            <v>41767</v>
          </cell>
          <cell r="H114">
            <v>17633.693925450003</v>
          </cell>
          <cell r="I114" t="str">
            <v>0</v>
          </cell>
          <cell r="J114" t="str">
            <v>LaSalle</v>
          </cell>
          <cell r="K114" t="str">
            <v>0</v>
          </cell>
          <cell r="L114">
            <v>16933.539367800004</v>
          </cell>
          <cell r="M114">
            <v>16933.539367800004</v>
          </cell>
          <cell r="N114">
            <v>700.15455764999933</v>
          </cell>
          <cell r="O114">
            <v>1.1409</v>
          </cell>
          <cell r="P114">
            <v>15455.950500000003</v>
          </cell>
          <cell r="Q114">
            <v>15455.950500000001</v>
          </cell>
          <cell r="R114">
            <v>2.0752850105054677E-12</v>
          </cell>
        </row>
        <row r="115">
          <cell r="A115" t="str">
            <v>LKH01</v>
          </cell>
          <cell r="B115" t="str">
            <v>Lakehouse Global Growth Fund</v>
          </cell>
          <cell r="C115" t="str">
            <v>Equity - Global</v>
          </cell>
          <cell r="E115" t="str">
            <v>LKH01</v>
          </cell>
          <cell r="F115" t="str">
            <v>1.30%</v>
          </cell>
          <cell r="G115">
            <v>43185</v>
          </cell>
          <cell r="H115">
            <v>0</v>
          </cell>
          <cell r="I115" t="str">
            <v>0</v>
          </cell>
          <cell r="J115" t="str">
            <v>Lakehouse</v>
          </cell>
          <cell r="K115" t="str">
            <v>0</v>
          </cell>
          <cell r="L115">
            <v>0</v>
          </cell>
          <cell r="M115">
            <v>0</v>
          </cell>
          <cell r="N115">
            <v>0</v>
          </cell>
          <cell r="O115">
            <v>1.0798000000000001</v>
          </cell>
          <cell r="P115">
            <v>0</v>
          </cell>
          <cell r="Q115">
            <v>0</v>
          </cell>
          <cell r="R115">
            <v>0</v>
          </cell>
        </row>
        <row r="116">
          <cell r="A116" t="str">
            <v>LMA01</v>
          </cell>
          <cell r="B116" t="str">
            <v>Legg Mason Australian Equity Income Trust A</v>
          </cell>
          <cell r="C116" t="str">
            <v>Equity - Australia</v>
          </cell>
          <cell r="E116" t="str">
            <v>LMA01</v>
          </cell>
          <cell r="F116" t="str">
            <v>0.85%</v>
          </cell>
          <cell r="G116">
            <v>41904</v>
          </cell>
          <cell r="H116">
            <v>1692772.8865686001</v>
          </cell>
          <cell r="I116">
            <v>70378.03</v>
          </cell>
          <cell r="J116" t="str">
            <v>Martin Currie</v>
          </cell>
          <cell r="K116">
            <v>2</v>
          </cell>
          <cell r="L116">
            <v>1643897.8448898897</v>
          </cell>
          <cell r="M116">
            <v>1643897.8448898897</v>
          </cell>
          <cell r="N116">
            <v>48875.041678710375</v>
          </cell>
          <cell r="O116">
            <v>1.27356</v>
          </cell>
          <cell r="P116">
            <v>1329166.1850000001</v>
          </cell>
          <cell r="Q116">
            <v>1322279.743</v>
          </cell>
          <cell r="R116">
            <v>8770.2970735200506</v>
          </cell>
        </row>
        <row r="117">
          <cell r="A117" t="str">
            <v>LMA02</v>
          </cell>
          <cell r="B117" t="str">
            <v>Legg Mason Australian Real Income A</v>
          </cell>
          <cell r="C117" t="str">
            <v>Property - Australia</v>
          </cell>
          <cell r="E117" t="str">
            <v>LMA02</v>
          </cell>
          <cell r="F117" t="str">
            <v>0.85%</v>
          </cell>
          <cell r="G117">
            <v>41904</v>
          </cell>
          <cell r="H117">
            <v>11921237.308615532</v>
          </cell>
          <cell r="I117">
            <v>296464.11</v>
          </cell>
          <cell r="J117" t="str">
            <v>Martin Currie</v>
          </cell>
          <cell r="K117">
            <v>7</v>
          </cell>
          <cell r="L117">
            <v>11515532.73029526</v>
          </cell>
          <cell r="M117">
            <v>11515532.73029526</v>
          </cell>
          <cell r="N117">
            <v>405704.57832027227</v>
          </cell>
          <cell r="O117">
            <v>1.7947300000000002</v>
          </cell>
          <cell r="P117">
            <v>6642356.9610000001</v>
          </cell>
          <cell r="Q117">
            <v>6560734.6829999993</v>
          </cell>
          <cell r="R117">
            <v>146489.95099494155</v>
          </cell>
        </row>
        <row r="118">
          <cell r="A118" t="str">
            <v>LMA03</v>
          </cell>
          <cell r="B118" t="str">
            <v>Legg Mason Australian Small Companies Trust A</v>
          </cell>
          <cell r="C118" t="str">
            <v>Equity - Australia</v>
          </cell>
          <cell r="E118" t="str">
            <v>LMA03</v>
          </cell>
          <cell r="F118" t="str">
            <v>1.10%</v>
          </cell>
          <cell r="G118">
            <v>41904</v>
          </cell>
          <cell r="H118">
            <v>0</v>
          </cell>
          <cell r="I118" t="str">
            <v>0</v>
          </cell>
          <cell r="J118" t="str">
            <v>Martin Currie</v>
          </cell>
          <cell r="K118" t="str">
            <v>0</v>
          </cell>
          <cell r="L118">
            <v>0</v>
          </cell>
          <cell r="M118">
            <v>0</v>
          </cell>
          <cell r="N118">
            <v>0</v>
          </cell>
          <cell r="O118">
            <v>1.0904700000000001</v>
          </cell>
          <cell r="P118">
            <v>0</v>
          </cell>
          <cell r="Q118">
            <v>0</v>
          </cell>
          <cell r="R118">
            <v>0</v>
          </cell>
        </row>
        <row r="119">
          <cell r="A119" t="str">
            <v>LMA05</v>
          </cell>
          <cell r="B119" t="str">
            <v>Legg Mason Martin Currie Diversified Income Trust</v>
          </cell>
          <cell r="C119" t="str">
            <v>Mixed</v>
          </cell>
          <cell r="E119" t="str">
            <v>LMA05</v>
          </cell>
          <cell r="F119" t="str">
            <v>0.80%</v>
          </cell>
          <cell r="G119">
            <v>41904</v>
          </cell>
          <cell r="H119">
            <v>2565486.5163801601</v>
          </cell>
          <cell r="I119">
            <v>478935.27</v>
          </cell>
          <cell r="J119" t="str">
            <v>Martin Currie</v>
          </cell>
          <cell r="K119">
            <v>4</v>
          </cell>
          <cell r="L119">
            <v>2153597.3144670902</v>
          </cell>
          <cell r="M119">
            <v>2153597.3144670902</v>
          </cell>
          <cell r="N119">
            <v>411889.20191306993</v>
          </cell>
          <cell r="O119">
            <v>1.1042400000000001</v>
          </cell>
          <cell r="P119">
            <v>2323305.1839999999</v>
          </cell>
          <cell r="Q119">
            <v>1987391.743</v>
          </cell>
          <cell r="R119">
            <v>370929.05808983988</v>
          </cell>
        </row>
        <row r="120">
          <cell r="A120" t="str">
            <v>LMA06</v>
          </cell>
          <cell r="B120" t="str">
            <v>Legg Mason Martin Currie Diversified Growth Trust</v>
          </cell>
          <cell r="C120" t="str">
            <v>Mixed</v>
          </cell>
          <cell r="E120" t="str">
            <v>LMA06</v>
          </cell>
          <cell r="F120" t="str">
            <v>0.64%</v>
          </cell>
          <cell r="G120">
            <v>41904</v>
          </cell>
          <cell r="H120">
            <v>991851.2128458001</v>
          </cell>
          <cell r="I120">
            <v>239200</v>
          </cell>
          <cell r="J120" t="str">
            <v>Martin Currie</v>
          </cell>
          <cell r="K120">
            <v>3</v>
          </cell>
          <cell r="L120">
            <v>740593.71164663997</v>
          </cell>
          <cell r="M120">
            <v>740593.71164663997</v>
          </cell>
          <cell r="N120">
            <v>251257.50119916012</v>
          </cell>
          <cell r="O120">
            <v>1.08918</v>
          </cell>
          <cell r="P120">
            <v>910640.31</v>
          </cell>
          <cell r="Q120">
            <v>689976.99899999995</v>
          </cell>
          <cell r="R120">
            <v>240342.06507498011</v>
          </cell>
        </row>
        <row r="121">
          <cell r="A121" t="str">
            <v>LOF01</v>
          </cell>
          <cell r="B121" t="str">
            <v>Loftus Peak Global Disruption Fund</v>
          </cell>
          <cell r="C121" t="str">
            <v>Equity - Global</v>
          </cell>
          <cell r="E121" t="str">
            <v>LOF01</v>
          </cell>
          <cell r="F121" t="str">
            <v>1.20%</v>
          </cell>
          <cell r="G121">
            <v>42991</v>
          </cell>
          <cell r="H121">
            <v>1297678.3352100798</v>
          </cell>
          <cell r="I121">
            <v>285867.26</v>
          </cell>
          <cell r="J121" t="str">
            <v>Loftus Peak</v>
          </cell>
          <cell r="K121">
            <v>11</v>
          </cell>
          <cell r="L121">
            <v>1022376.3330525599</v>
          </cell>
          <cell r="M121">
            <v>1022376.3330525599</v>
          </cell>
          <cell r="N121">
            <v>275302.00215751992</v>
          </cell>
          <cell r="O121">
            <v>1.6056999999999999</v>
          </cell>
          <cell r="P121">
            <v>808169.85439999995</v>
          </cell>
          <cell r="Q121">
            <v>649622.78119999997</v>
          </cell>
          <cell r="R121">
            <v>254579.03543723997</v>
          </cell>
        </row>
        <row r="122">
          <cell r="A122" t="str">
            <v>MLO02</v>
          </cell>
          <cell r="B122" t="str">
            <v>Merlon Wholesale Aus Share Income Fund</v>
          </cell>
          <cell r="C122" t="str">
            <v>Equity - Australia</v>
          </cell>
          <cell r="E122" t="str">
            <v>MLO02</v>
          </cell>
          <cell r="F122" t="str">
            <v>0.95%</v>
          </cell>
          <cell r="G122">
            <v>42184</v>
          </cell>
          <cell r="H122">
            <v>8188158.0756534794</v>
          </cell>
          <cell r="I122">
            <v>193418.02000000002</v>
          </cell>
          <cell r="J122" t="str">
            <v>Merlon</v>
          </cell>
          <cell r="K122">
            <v>16</v>
          </cell>
          <cell r="L122">
            <v>7921495.0853929818</v>
          </cell>
          <cell r="M122">
            <v>7921495.0853929818</v>
          </cell>
          <cell r="N122">
            <v>266662.99026049767</v>
          </cell>
          <cell r="O122">
            <v>1.1421999999999999</v>
          </cell>
          <cell r="P122">
            <v>7168760.3534000004</v>
          </cell>
          <cell r="Q122">
            <v>7011413.6001000004</v>
          </cell>
          <cell r="R122">
            <v>179721.46161925996</v>
          </cell>
        </row>
        <row r="123">
          <cell r="A123" t="str">
            <v>MLC01</v>
          </cell>
          <cell r="B123" t="str">
            <v>MLC WS Inflation Plus - Conservative Portfolio</v>
          </cell>
          <cell r="C123" t="str">
            <v>Mixed</v>
          </cell>
          <cell r="E123" t="str">
            <v>MLC01</v>
          </cell>
          <cell r="F123" t="str">
            <v>0.75%</v>
          </cell>
          <cell r="G123">
            <v>43011</v>
          </cell>
          <cell r="H123">
            <v>37545.714771660001</v>
          </cell>
          <cell r="I123" t="str">
            <v>0</v>
          </cell>
          <cell r="J123" t="str">
            <v>MLC</v>
          </cell>
          <cell r="K123" t="str">
            <v>0</v>
          </cell>
          <cell r="L123">
            <v>37397.713607990001</v>
          </cell>
          <cell r="M123">
            <v>37397.713607990001</v>
          </cell>
          <cell r="N123">
            <v>148.0011636700001</v>
          </cell>
          <cell r="O123">
            <v>1.0865340000000001</v>
          </cell>
          <cell r="P123">
            <v>34555.49</v>
          </cell>
          <cell r="Q123">
            <v>34555.49</v>
          </cell>
          <cell r="R123">
            <v>0</v>
          </cell>
        </row>
        <row r="124">
          <cell r="A124" t="str">
            <v>MLC02</v>
          </cell>
          <cell r="B124" t="str">
            <v>MLC WS Inflation Plus - Moderate Portfolio</v>
          </cell>
          <cell r="C124" t="str">
            <v>Mixed</v>
          </cell>
          <cell r="E124" t="str">
            <v>MLC02</v>
          </cell>
          <cell r="F124" t="str">
            <v>0.90%</v>
          </cell>
          <cell r="G124">
            <v>43011</v>
          </cell>
          <cell r="H124">
            <v>475839.39787776</v>
          </cell>
          <cell r="I124">
            <v>187000</v>
          </cell>
          <cell r="J124" t="str">
            <v>MLC</v>
          </cell>
          <cell r="K124">
            <v>3</v>
          </cell>
          <cell r="L124">
            <v>287658.77961587999</v>
          </cell>
          <cell r="M124">
            <v>287658.77961587999</v>
          </cell>
          <cell r="N124">
            <v>188180.61826188001</v>
          </cell>
          <cell r="O124">
            <v>1.104768</v>
          </cell>
          <cell r="P124">
            <v>430714.32</v>
          </cell>
          <cell r="Q124">
            <v>261787.38000000003</v>
          </cell>
          <cell r="R124">
            <v>186625.07764991996</v>
          </cell>
        </row>
        <row r="125">
          <cell r="A125" t="str">
            <v>MLC03</v>
          </cell>
          <cell r="B125" t="str">
            <v>MLC WS Inflation Plus - Assertive Portfolio</v>
          </cell>
          <cell r="C125" t="str">
            <v>Mixed</v>
          </cell>
          <cell r="E125" t="str">
            <v>MLC03</v>
          </cell>
          <cell r="F125" t="str">
            <v>1.25%</v>
          </cell>
          <cell r="G125">
            <v>43011</v>
          </cell>
          <cell r="H125">
            <v>730879.41537900001</v>
          </cell>
          <cell r="I125">
            <v>20000</v>
          </cell>
          <cell r="J125" t="str">
            <v>MLC</v>
          </cell>
          <cell r="K125">
            <v>1</v>
          </cell>
          <cell r="L125">
            <v>705069.64444139996</v>
          </cell>
          <cell r="M125">
            <v>705069.64444139996</v>
          </cell>
          <cell r="N125">
            <v>25809.770937600057</v>
          </cell>
          <cell r="O125">
            <v>0.95769000000000004</v>
          </cell>
          <cell r="P125">
            <v>763169.1</v>
          </cell>
          <cell r="Q125">
            <v>742444.29</v>
          </cell>
          <cell r="R125">
            <v>19847.943288899944</v>
          </cell>
        </row>
        <row r="126">
          <cell r="A126" t="str">
            <v>MIM01</v>
          </cell>
          <cell r="B126" t="str">
            <v>Macquarie Income Opportunities Fund</v>
          </cell>
          <cell r="C126" t="str">
            <v>Fixed Income - Australia</v>
          </cell>
          <cell r="E126" t="str">
            <v>MIM01</v>
          </cell>
          <cell r="F126">
            <v>5.1000000000000004E-3</v>
          </cell>
          <cell r="G126">
            <v>43258</v>
          </cell>
          <cell r="H126">
            <v>290032.62055200001</v>
          </cell>
          <cell r="I126">
            <v>291000</v>
          </cell>
          <cell r="J126" t="str">
            <v>Macquarie</v>
          </cell>
          <cell r="K126">
            <v>5</v>
          </cell>
          <cell r="L126">
            <v>0</v>
          </cell>
          <cell r="M126">
            <v>0</v>
          </cell>
          <cell r="N126">
            <v>290032.62055200001</v>
          </cell>
          <cell r="O126">
            <v>1.0148000000000001</v>
          </cell>
          <cell r="P126">
            <v>285802.74</v>
          </cell>
          <cell r="Q126">
            <v>0</v>
          </cell>
          <cell r="R126">
            <v>290032.62055200001</v>
          </cell>
        </row>
        <row r="127">
          <cell r="A127" t="str">
            <v>MOR01</v>
          </cell>
          <cell r="B127" t="str">
            <v>MHOR Australian Small Cap Fund</v>
          </cell>
          <cell r="C127" t="str">
            <v>Equity - Australia</v>
          </cell>
          <cell r="E127" t="str">
            <v>MOR01</v>
          </cell>
          <cell r="F127" t="str">
            <v>1.50%</v>
          </cell>
          <cell r="G127">
            <v>43104</v>
          </cell>
          <cell r="H127">
            <v>1196340.5954221401</v>
          </cell>
          <cell r="I127">
            <v>312000</v>
          </cell>
          <cell r="J127" t="str">
            <v>MHOR Asset Management</v>
          </cell>
          <cell r="K127">
            <v>7</v>
          </cell>
          <cell r="L127">
            <v>880629.71360948996</v>
          </cell>
          <cell r="M127">
            <v>880629.71360948996</v>
          </cell>
          <cell r="N127">
            <v>315710.88181265013</v>
          </cell>
          <cell r="O127">
            <v>1.3199000000000001</v>
          </cell>
          <cell r="P127">
            <v>906387.29859999998</v>
          </cell>
          <cell r="Q127">
            <v>670037.06429999997</v>
          </cell>
          <cell r="R127">
            <v>311958.67425257002</v>
          </cell>
        </row>
        <row r="128">
          <cell r="A128" t="str">
            <v>MUN01</v>
          </cell>
          <cell r="B128" t="str">
            <v>Munro Global Growth Fund</v>
          </cell>
          <cell r="C128" t="str">
            <v>Equity - Global</v>
          </cell>
          <cell r="E128" t="str">
            <v>MUN01</v>
          </cell>
          <cell r="F128" t="str">
            <v>1.35%</v>
          </cell>
          <cell r="G128">
            <v>43160</v>
          </cell>
          <cell r="H128">
            <v>1929011.7686324399</v>
          </cell>
          <cell r="I128">
            <v>533600</v>
          </cell>
          <cell r="J128" t="str">
            <v>Munro Partners</v>
          </cell>
          <cell r="K128">
            <v>15</v>
          </cell>
          <cell r="L128">
            <v>1389781.5383005603</v>
          </cell>
          <cell r="M128">
            <v>1389781.5383005603</v>
          </cell>
          <cell r="N128">
            <v>539230.23033187957</v>
          </cell>
          <cell r="O128">
            <v>1.3238999999999999</v>
          </cell>
          <cell r="P128">
            <v>1457067.5796000001</v>
          </cell>
          <cell r="Q128">
            <v>1061225.9761000001</v>
          </cell>
          <cell r="R128">
            <v>524054.69887364988</v>
          </cell>
        </row>
        <row r="129">
          <cell r="A129" t="str">
            <v>NCE01</v>
          </cell>
          <cell r="B129" t="str">
            <v>New Capital China Equity Fund</v>
          </cell>
          <cell r="C129" t="str">
            <v>Equity - Global</v>
          </cell>
          <cell r="E129" t="str">
            <v>NCE01</v>
          </cell>
          <cell r="F129" t="str">
            <v>n/a</v>
          </cell>
          <cell r="G129">
            <v>43122</v>
          </cell>
          <cell r="H129">
            <v>0</v>
          </cell>
          <cell r="I129" t="str">
            <v>0</v>
          </cell>
          <cell r="J129" t="str">
            <v>EFG Asset Management</v>
          </cell>
          <cell r="K129" t="str">
            <v>0</v>
          </cell>
          <cell r="L129">
            <v>0</v>
          </cell>
          <cell r="M129">
            <v>0</v>
          </cell>
          <cell r="N129">
            <v>0</v>
          </cell>
          <cell r="O129">
            <v>1.0031699999999999</v>
          </cell>
          <cell r="P129">
            <v>0</v>
          </cell>
          <cell r="Q129">
            <v>0</v>
          </cell>
          <cell r="R129">
            <v>0</v>
          </cell>
        </row>
        <row r="130">
          <cell r="A130" t="str">
            <v>IBB01</v>
          </cell>
          <cell r="B130" t="str">
            <v>Morningstar International Shares (Unhedged) Fund</v>
          </cell>
          <cell r="C130" t="str">
            <v>Equity - Global</v>
          </cell>
          <cell r="E130" t="str">
            <v>IBB01</v>
          </cell>
          <cell r="F130" t="str">
            <v>0.51%</v>
          </cell>
          <cell r="G130">
            <v>41767</v>
          </cell>
          <cell r="H130">
            <v>1685648.5283923997</v>
          </cell>
          <cell r="I130">
            <v>42795.68</v>
          </cell>
          <cell r="J130" t="str">
            <v>Morningstar</v>
          </cell>
          <cell r="K130">
            <v>1</v>
          </cell>
          <cell r="L130">
            <v>1703438.0297244</v>
          </cell>
          <cell r="M130">
            <v>1703438.0297244</v>
          </cell>
          <cell r="N130">
            <v>-17789.501332000364</v>
          </cell>
          <cell r="O130">
            <v>1.0398699999999999</v>
          </cell>
          <cell r="P130">
            <v>1621018.52</v>
          </cell>
          <cell r="Q130">
            <v>1661582.76</v>
          </cell>
          <cell r="R130">
            <v>-42181.536248799981</v>
          </cell>
        </row>
        <row r="131">
          <cell r="A131" t="str">
            <v>IBB03</v>
          </cell>
          <cell r="B131" t="str">
            <v>Morningstar Global Property Securities (H) Fund</v>
          </cell>
          <cell r="C131" t="str">
            <v>Property - Global</v>
          </cell>
          <cell r="E131" t="str">
            <v>IBB03</v>
          </cell>
          <cell r="F131" t="str">
            <v>0.57%</v>
          </cell>
          <cell r="G131">
            <v>41767</v>
          </cell>
          <cell r="H131">
            <v>114500.1220872</v>
          </cell>
          <cell r="I131" t="str">
            <v>0</v>
          </cell>
          <cell r="J131" t="str">
            <v>Morningstar</v>
          </cell>
          <cell r="K131" t="str">
            <v>0</v>
          </cell>
          <cell r="L131">
            <v>110965.320999</v>
          </cell>
          <cell r="M131">
            <v>110965.320999</v>
          </cell>
          <cell r="N131">
            <v>3534.8010881999944</v>
          </cell>
          <cell r="O131">
            <v>1.2354399999999999</v>
          </cell>
          <cell r="P131">
            <v>92679.63</v>
          </cell>
          <cell r="Q131">
            <v>92679.63</v>
          </cell>
          <cell r="R131">
            <v>0</v>
          </cell>
        </row>
        <row r="132">
          <cell r="A132" t="str">
            <v>IBB04</v>
          </cell>
          <cell r="B132" t="str">
            <v>Morningstar International Shares (Hedged) Fund</v>
          </cell>
          <cell r="C132" t="str">
            <v>Equity - Global</v>
          </cell>
          <cell r="E132" t="str">
            <v>IBB04</v>
          </cell>
          <cell r="F132" t="str">
            <v>0.56%</v>
          </cell>
          <cell r="G132">
            <v>41767</v>
          </cell>
          <cell r="H132">
            <v>1270444.440492</v>
          </cell>
          <cell r="I132">
            <v>221480.66</v>
          </cell>
          <cell r="J132" t="str">
            <v>Morningstar</v>
          </cell>
          <cell r="K132">
            <v>4</v>
          </cell>
          <cell r="L132">
            <v>1157198.5935765002</v>
          </cell>
          <cell r="M132">
            <v>1157198.5935765002</v>
          </cell>
          <cell r="N132">
            <v>113245.84691549977</v>
          </cell>
          <cell r="O132">
            <v>0.47310000000000002</v>
          </cell>
          <cell r="P132">
            <v>2685361.32</v>
          </cell>
          <cell r="Q132">
            <v>2440574.91</v>
          </cell>
          <cell r="R132">
            <v>115808.45057099985</v>
          </cell>
        </row>
        <row r="133">
          <cell r="A133" t="str">
            <v>IBB05</v>
          </cell>
          <cell r="B133" t="str">
            <v>Morningstar International Shares High Opps(U) Fund</v>
          </cell>
          <cell r="C133" t="str">
            <v>Equity - Global</v>
          </cell>
          <cell r="E133" t="str">
            <v>IBB05</v>
          </cell>
          <cell r="F133" t="str">
            <v>1.03%</v>
          </cell>
          <cell r="G133">
            <v>41767</v>
          </cell>
          <cell r="H133">
            <v>190784.20379210002</v>
          </cell>
          <cell r="I133" t="str">
            <v>0</v>
          </cell>
          <cell r="J133" t="str">
            <v>Morningstar</v>
          </cell>
          <cell r="K133" t="str">
            <v>0</v>
          </cell>
          <cell r="L133">
            <v>187157.180326</v>
          </cell>
          <cell r="M133">
            <v>187157.180326</v>
          </cell>
          <cell r="N133">
            <v>3627.023466100014</v>
          </cell>
          <cell r="O133">
            <v>1.9288700000000001</v>
          </cell>
          <cell r="P133">
            <v>98909.83</v>
          </cell>
          <cell r="Q133">
            <v>98909.83</v>
          </cell>
          <cell r="R133">
            <v>0</v>
          </cell>
        </row>
        <row r="134">
          <cell r="A134" t="str">
            <v>IBB09</v>
          </cell>
          <cell r="B134" t="str">
            <v>Morningstar Conservative Real Return Fund</v>
          </cell>
          <cell r="C134" t="str">
            <v>Mixed</v>
          </cell>
          <cell r="E134" t="str">
            <v>IBB09</v>
          </cell>
          <cell r="F134" t="str">
            <v>0.57%</v>
          </cell>
          <cell r="G134">
            <v>41767</v>
          </cell>
          <cell r="H134">
            <v>214862.23784319998</v>
          </cell>
          <cell r="I134" t="str">
            <v>0</v>
          </cell>
          <cell r="J134" t="str">
            <v>Morningstar</v>
          </cell>
          <cell r="K134" t="str">
            <v>0</v>
          </cell>
          <cell r="L134">
            <v>214328.31556280004</v>
          </cell>
          <cell r="M134">
            <v>214328.31556280004</v>
          </cell>
          <cell r="N134">
            <v>533.9222803999437</v>
          </cell>
          <cell r="O134">
            <v>1.0100799999999999</v>
          </cell>
          <cell r="P134">
            <v>212718.04</v>
          </cell>
          <cell r="Q134">
            <v>212718.04</v>
          </cell>
          <cell r="R134">
            <v>0</v>
          </cell>
        </row>
        <row r="135">
          <cell r="A135" t="str">
            <v>IBB10</v>
          </cell>
          <cell r="B135" t="str">
            <v>Morningstar Balanced Real Return Fund</v>
          </cell>
          <cell r="C135" t="str">
            <v>Mixed</v>
          </cell>
          <cell r="E135" t="str">
            <v>IBB10</v>
          </cell>
          <cell r="F135" t="str">
            <v>0.64%</v>
          </cell>
          <cell r="G135">
            <v>41767</v>
          </cell>
          <cell r="H135">
            <v>4538697.1632758994</v>
          </cell>
          <cell r="I135">
            <v>15000</v>
          </cell>
          <cell r="J135" t="str">
            <v>Morningstar</v>
          </cell>
          <cell r="K135">
            <v>1</v>
          </cell>
          <cell r="L135">
            <v>4526600.3053286001</v>
          </cell>
          <cell r="M135">
            <v>4526600.3053286001</v>
          </cell>
          <cell r="N135">
            <v>12096.857947299257</v>
          </cell>
          <cell r="O135">
            <v>0.9637699999999999</v>
          </cell>
          <cell r="P135">
            <v>4709315.67</v>
          </cell>
          <cell r="Q135">
            <v>4714570.22</v>
          </cell>
          <cell r="R135">
            <v>-5064.1776534998198</v>
          </cell>
        </row>
        <row r="136">
          <cell r="A136" t="str">
            <v>IBB11</v>
          </cell>
          <cell r="B136" t="str">
            <v>Morningstar Growth Real Return Fund</v>
          </cell>
          <cell r="C136" t="str">
            <v>Mixed</v>
          </cell>
          <cell r="E136" t="str">
            <v>IBB11</v>
          </cell>
          <cell r="F136" t="str">
            <v>0.70%</v>
          </cell>
          <cell r="G136">
            <v>41767</v>
          </cell>
          <cell r="H136">
            <v>3978056.8339950005</v>
          </cell>
          <cell r="I136">
            <v>120000</v>
          </cell>
          <cell r="J136" t="str">
            <v>Morningstar</v>
          </cell>
          <cell r="K136">
            <v>3</v>
          </cell>
          <cell r="L136">
            <v>3839243.5561299999</v>
          </cell>
          <cell r="M136">
            <v>3839243.5561299999</v>
          </cell>
          <cell r="N136">
            <v>138813.27786500053</v>
          </cell>
          <cell r="O136">
            <v>0.91150000000000009</v>
          </cell>
          <cell r="P136">
            <v>4364297.13</v>
          </cell>
          <cell r="Q136">
            <v>4232903.59</v>
          </cell>
          <cell r="R136">
            <v>119765.21171000005</v>
          </cell>
        </row>
        <row r="137">
          <cell r="A137" t="str">
            <v>IBB12</v>
          </cell>
          <cell r="B137" t="str">
            <v>Morningstar High Growth Real Return Fund</v>
          </cell>
          <cell r="C137" t="str">
            <v>Mixed</v>
          </cell>
          <cell r="E137" t="str">
            <v>IBB12</v>
          </cell>
          <cell r="F137" t="str">
            <v>0.76%</v>
          </cell>
          <cell r="G137">
            <v>41767</v>
          </cell>
          <cell r="H137">
            <v>2828171.8323695399</v>
          </cell>
          <cell r="I137">
            <v>347227.15</v>
          </cell>
          <cell r="J137" t="str">
            <v>Morningstar</v>
          </cell>
          <cell r="K137">
            <v>8</v>
          </cell>
          <cell r="L137">
            <v>2491542.5134140672</v>
          </cell>
          <cell r="M137">
            <v>2491542.5134140672</v>
          </cell>
          <cell r="N137">
            <v>336629.31895547267</v>
          </cell>
          <cell r="O137">
            <v>0.90988000000000002</v>
          </cell>
          <cell r="P137">
            <v>3108291.0190019999</v>
          </cell>
          <cell r="Q137">
            <v>2757534.2690020003</v>
          </cell>
          <cell r="R137">
            <v>319146.55168999959</v>
          </cell>
        </row>
        <row r="138">
          <cell r="A138" t="str">
            <v>IBB13</v>
          </cell>
          <cell r="B138" t="str">
            <v>Morningstar Multi Asset Real Return A</v>
          </cell>
          <cell r="C138" t="str">
            <v>Mixed</v>
          </cell>
          <cell r="E138" t="str">
            <v>IBB13</v>
          </cell>
          <cell r="F138" t="str">
            <v>0.72%</v>
          </cell>
          <cell r="G138">
            <v>41767</v>
          </cell>
          <cell r="H138">
            <v>695780.57552080008</v>
          </cell>
          <cell r="I138">
            <v>60000</v>
          </cell>
          <cell r="J138" t="str">
            <v>Morningstar</v>
          </cell>
          <cell r="K138">
            <v>3</v>
          </cell>
          <cell r="L138">
            <v>631805.23495680012</v>
          </cell>
          <cell r="M138">
            <v>631805.23495680012</v>
          </cell>
          <cell r="N138">
            <v>63975.340563999955</v>
          </cell>
          <cell r="O138">
            <v>1.01624</v>
          </cell>
          <cell r="P138">
            <v>684661.67</v>
          </cell>
          <cell r="Q138">
            <v>625599.29</v>
          </cell>
          <cell r="R138">
            <v>60021.553051200004</v>
          </cell>
        </row>
        <row r="139">
          <cell r="A139" t="str">
            <v>ORB01</v>
          </cell>
          <cell r="B139" t="str">
            <v>Orbis Global Equity Australia Registered Retail</v>
          </cell>
          <cell r="C139" t="str">
            <v>Equity - Global</v>
          </cell>
          <cell r="E139" t="str">
            <v>ORB01</v>
          </cell>
          <cell r="F139" t="str">
            <v>1.00%</v>
          </cell>
          <cell r="G139">
            <v>42436</v>
          </cell>
          <cell r="H139">
            <v>19390376.4145119</v>
          </cell>
          <cell r="I139">
            <v>2673638.9900000002</v>
          </cell>
          <cell r="J139" t="str">
            <v>Orbis</v>
          </cell>
          <cell r="K139">
            <v>56</v>
          </cell>
          <cell r="L139">
            <v>16698386.208296599</v>
          </cell>
          <cell r="M139">
            <v>16698386.208296599</v>
          </cell>
          <cell r="N139">
            <v>2691990.2062153015</v>
          </cell>
          <cell r="O139">
            <v>156.42269999999999</v>
          </cell>
          <cell r="P139">
            <v>123961.39700000001</v>
          </cell>
          <cell r="Q139">
            <v>109081.246</v>
          </cell>
          <cell r="R139">
            <v>2327593.3958277018</v>
          </cell>
        </row>
        <row r="140">
          <cell r="A140" t="str">
            <v>PMW01</v>
          </cell>
          <cell r="B140" t="str">
            <v>Peters MacGregor Global</v>
          </cell>
          <cell r="C140" t="str">
            <v>Equity - Global</v>
          </cell>
          <cell r="E140" t="str">
            <v>PMW01</v>
          </cell>
          <cell r="F140" t="str">
            <v>1.35%</v>
          </cell>
          <cell r="G140">
            <v>41953</v>
          </cell>
          <cell r="H140">
            <v>2380336.7557649999</v>
          </cell>
          <cell r="I140">
            <v>43562.400000000001</v>
          </cell>
          <cell r="J140" t="str">
            <v>Peters MacGregor</v>
          </cell>
          <cell r="K140">
            <v>4</v>
          </cell>
          <cell r="L140">
            <v>2231623.71656632</v>
          </cell>
          <cell r="M140">
            <v>2231623.71656632</v>
          </cell>
          <cell r="N140">
            <v>148713.03919867985</v>
          </cell>
          <cell r="O140">
            <v>1.7124999999999999</v>
          </cell>
          <cell r="P140">
            <v>1389977.6676</v>
          </cell>
          <cell r="Q140">
            <v>1376186.3077</v>
          </cell>
          <cell r="R140">
            <v>23617.703828750065</v>
          </cell>
        </row>
        <row r="141">
          <cell r="A141" t="str">
            <v>CFM01</v>
          </cell>
          <cell r="B141" t="str">
            <v>Cromwell Core Listed Property</v>
          </cell>
          <cell r="C141" t="str">
            <v>Property - Australia</v>
          </cell>
          <cell r="E141" t="str">
            <v>CFM01</v>
          </cell>
          <cell r="F141" t="str">
            <v>0.80%</v>
          </cell>
          <cell r="G141">
            <v>42342</v>
          </cell>
          <cell r="H141">
            <v>185837.93493120003</v>
          </cell>
          <cell r="I141">
            <v>35501.549999999996</v>
          </cell>
          <cell r="J141" t="str">
            <v>Phoenix Portfolio</v>
          </cell>
          <cell r="K141">
            <v>5</v>
          </cell>
          <cell r="L141">
            <v>178503.40030245998</v>
          </cell>
          <cell r="M141">
            <v>178503.40030245998</v>
          </cell>
          <cell r="N141">
            <v>7334.5346287400462</v>
          </cell>
          <cell r="O141">
            <v>1.1040000000000001</v>
          </cell>
          <cell r="P141">
            <v>168331.46280000001</v>
          </cell>
          <cell r="Q141">
            <v>163930.0214</v>
          </cell>
          <cell r="R141">
            <v>4859.1913056000121</v>
          </cell>
        </row>
        <row r="142">
          <cell r="A142" t="str">
            <v>CFM02</v>
          </cell>
          <cell r="B142" t="str">
            <v>Cromwell Phoenix Opportunities</v>
          </cell>
          <cell r="C142" t="str">
            <v>Equity - Australia</v>
          </cell>
          <cell r="E142" t="str">
            <v>CFM02</v>
          </cell>
          <cell r="F142" t="str">
            <v>0.15%</v>
          </cell>
          <cell r="G142">
            <v>42418</v>
          </cell>
          <cell r="H142">
            <v>1472295.9294108001</v>
          </cell>
          <cell r="I142">
            <v>44390</v>
          </cell>
          <cell r="J142" t="str">
            <v>Phoenix Portfolio</v>
          </cell>
          <cell r="K142">
            <v>1</v>
          </cell>
          <cell r="L142">
            <v>1512572.6356614998</v>
          </cell>
          <cell r="M142">
            <v>1512572.6356614998</v>
          </cell>
          <cell r="N142">
            <v>-40276.706250699703</v>
          </cell>
          <cell r="O142">
            <v>2.028</v>
          </cell>
          <cell r="P142">
            <v>725984.18610000005</v>
          </cell>
          <cell r="Q142">
            <v>747872.74939999997</v>
          </cell>
          <cell r="R142">
            <v>-44390.006372399839</v>
          </cell>
        </row>
        <row r="143">
          <cell r="A143" t="str">
            <v>PMF01</v>
          </cell>
          <cell r="B143" t="str">
            <v>PIMCO Global Credit Fund Wholesale Class</v>
          </cell>
          <cell r="C143" t="str">
            <v>Fixed Income - Global</v>
          </cell>
          <cell r="E143" t="str">
            <v>PMF01</v>
          </cell>
          <cell r="F143" t="str">
            <v>0.61%</v>
          </cell>
          <cell r="G143">
            <v>41767</v>
          </cell>
          <cell r="H143">
            <v>13358160.526631402</v>
          </cell>
          <cell r="I143">
            <v>1166407.3700000001</v>
          </cell>
          <cell r="J143" t="str">
            <v>PIMCO</v>
          </cell>
          <cell r="K143">
            <v>17</v>
          </cell>
          <cell r="L143">
            <v>13227482.922657421</v>
          </cell>
          <cell r="M143">
            <v>13227482.922657421</v>
          </cell>
          <cell r="N143">
            <v>130677.60397398099</v>
          </cell>
          <cell r="O143">
            <v>0.98030000000000006</v>
          </cell>
          <cell r="P143">
            <v>13626604.638</v>
          </cell>
          <cell r="Q143">
            <v>13493300.951400001</v>
          </cell>
          <cell r="R143">
            <v>130677.60397397968</v>
          </cell>
        </row>
        <row r="144">
          <cell r="A144" t="str">
            <v>PMF02</v>
          </cell>
          <cell r="B144" t="str">
            <v>PIMCO Diversified Fixed Interest Fund Wholesale Class</v>
          </cell>
          <cell r="C144" t="str">
            <v>Fixed Income - Global</v>
          </cell>
          <cell r="E144" t="str">
            <v>PMF02</v>
          </cell>
          <cell r="F144" t="str">
            <v>0.51%</v>
          </cell>
          <cell r="G144">
            <v>41767</v>
          </cell>
          <cell r="H144">
            <v>29706033.280099601</v>
          </cell>
          <cell r="I144">
            <v>1856378.23</v>
          </cell>
          <cell r="J144" t="str">
            <v>PIMCO</v>
          </cell>
          <cell r="K144">
            <v>28</v>
          </cell>
          <cell r="L144">
            <v>27815194.563015245</v>
          </cell>
          <cell r="M144">
            <v>27815194.563015245</v>
          </cell>
          <cell r="N144">
            <v>1890838.7170843557</v>
          </cell>
          <cell r="O144">
            <v>1.004</v>
          </cell>
          <cell r="P144">
            <v>29587682.549899999</v>
          </cell>
          <cell r="Q144">
            <v>27784631.468400002</v>
          </cell>
          <cell r="R144">
            <v>1810263.2858259976</v>
          </cell>
        </row>
        <row r="145">
          <cell r="A145" t="str">
            <v>PMF03</v>
          </cell>
          <cell r="B145" t="str">
            <v>PIMCO Global Bond Fund Wholesale Class</v>
          </cell>
          <cell r="C145" t="str">
            <v>Fixed Income - Global</v>
          </cell>
          <cell r="E145" t="str">
            <v>PMF03</v>
          </cell>
          <cell r="F145" t="str">
            <v>0.49%</v>
          </cell>
          <cell r="G145">
            <v>41767</v>
          </cell>
          <cell r="H145">
            <v>29393119.064527143</v>
          </cell>
          <cell r="I145">
            <v>1068237.69</v>
          </cell>
          <cell r="J145" t="str">
            <v>PIMCO</v>
          </cell>
          <cell r="K145">
            <v>26</v>
          </cell>
          <cell r="L145">
            <v>29026203.794894621</v>
          </cell>
          <cell r="M145">
            <v>29026203.794894621</v>
          </cell>
          <cell r="N145">
            <v>366915.26963252202</v>
          </cell>
          <cell r="O145">
            <v>0.99980000000000002</v>
          </cell>
          <cell r="P145">
            <v>29398998.864300001</v>
          </cell>
          <cell r="Q145">
            <v>29087287.097800002</v>
          </cell>
          <cell r="R145">
            <v>311649.42414669989</v>
          </cell>
        </row>
        <row r="146">
          <cell r="A146" t="str">
            <v>PMF04</v>
          </cell>
          <cell r="B146" t="str">
            <v>PIMCO Australian Bond Fund Wholesale Class</v>
          </cell>
          <cell r="C146" t="str">
            <v>Fixed Income - Australia</v>
          </cell>
          <cell r="E146" t="str">
            <v>PMF04</v>
          </cell>
          <cell r="F146" t="str">
            <v>0.50%</v>
          </cell>
          <cell r="G146">
            <v>41767</v>
          </cell>
          <cell r="H146">
            <v>10153986.925039409</v>
          </cell>
          <cell r="I146">
            <v>494586.45</v>
          </cell>
          <cell r="J146" t="str">
            <v>PIMCO</v>
          </cell>
          <cell r="K146">
            <v>10</v>
          </cell>
          <cell r="L146">
            <v>9948566.3714464977</v>
          </cell>
          <cell r="M146">
            <v>9948566.3714464977</v>
          </cell>
          <cell r="N146">
            <v>205420.55359291099</v>
          </cell>
          <cell r="O146">
            <v>1.0190999999999999</v>
          </cell>
          <cell r="P146">
            <v>9963680.6250999998</v>
          </cell>
          <cell r="Q146">
            <v>9801543.2230999991</v>
          </cell>
          <cell r="R146">
            <v>165234.22637820069</v>
          </cell>
        </row>
        <row r="147">
          <cell r="A147" t="str">
            <v>PMF05</v>
          </cell>
          <cell r="B147" t="str">
            <v>PIMCO Australian Focus Fund Wholesale Class</v>
          </cell>
          <cell r="C147" t="str">
            <v>Fixed Income - Australia</v>
          </cell>
          <cell r="E147" t="str">
            <v>PMF05</v>
          </cell>
          <cell r="F147" t="str">
            <v>0.50%</v>
          </cell>
          <cell r="G147">
            <v>41767</v>
          </cell>
          <cell r="H147">
            <v>759479.99756431999</v>
          </cell>
          <cell r="I147">
            <v>89442.54</v>
          </cell>
          <cell r="J147" t="str">
            <v>PIMCO</v>
          </cell>
          <cell r="K147">
            <v>1</v>
          </cell>
          <cell r="L147">
            <v>846710.74783879984</v>
          </cell>
          <cell r="M147">
            <v>846710.74783879984</v>
          </cell>
          <cell r="N147">
            <v>-87230.750274479855</v>
          </cell>
          <cell r="O147">
            <v>1.0424</v>
          </cell>
          <cell r="P147">
            <v>728587.87179999996</v>
          </cell>
          <cell r="Q147">
            <v>814458.20299999998</v>
          </cell>
          <cell r="R147">
            <v>-89511.233242880015</v>
          </cell>
        </row>
        <row r="148">
          <cell r="A148" t="str">
            <v>PMF06</v>
          </cell>
          <cell r="B148" t="str">
            <v>PIMCO Unconstrained Bond Fund Wholesale Class</v>
          </cell>
          <cell r="C148" t="str">
            <v>Fixed Income - Global</v>
          </cell>
          <cell r="E148" t="str">
            <v>PMF06</v>
          </cell>
          <cell r="F148" t="str">
            <v>0.95%</v>
          </cell>
          <cell r="G148">
            <v>41767</v>
          </cell>
          <cell r="H148">
            <v>4285744.1005550995</v>
          </cell>
          <cell r="I148">
            <v>340553.43999999994</v>
          </cell>
          <cell r="J148" t="str">
            <v>PIMCO</v>
          </cell>
          <cell r="K148">
            <v>2</v>
          </cell>
          <cell r="L148">
            <v>4636519.2182047199</v>
          </cell>
          <cell r="M148">
            <v>4636519.2182047199</v>
          </cell>
          <cell r="N148">
            <v>-350775.1176496204</v>
          </cell>
          <cell r="O148">
            <v>1.0369999999999999</v>
          </cell>
          <cell r="P148">
            <v>4132829.4123</v>
          </cell>
          <cell r="Q148">
            <v>4461623.5740999999</v>
          </cell>
          <cell r="R148">
            <v>-340959.54578659986</v>
          </cell>
        </row>
        <row r="149">
          <cell r="A149" t="str">
            <v>PMF07</v>
          </cell>
          <cell r="B149" t="str">
            <v>PIMCO Capital Securities Fund Wholesale Class</v>
          </cell>
          <cell r="C149" t="str">
            <v>Fixed Income - Australia</v>
          </cell>
          <cell r="E149" t="str">
            <v>PMF07</v>
          </cell>
          <cell r="F149" t="str">
            <v>0.94%</v>
          </cell>
          <cell r="G149">
            <v>42464</v>
          </cell>
          <cell r="H149">
            <v>3622265.6011130898</v>
          </cell>
          <cell r="I149">
            <v>205373.72999999998</v>
          </cell>
          <cell r="J149" t="str">
            <v>PIMCO</v>
          </cell>
          <cell r="K149">
            <v>4</v>
          </cell>
          <cell r="L149">
            <v>3716416.3066434003</v>
          </cell>
          <cell r="M149">
            <v>3716416.3066434003</v>
          </cell>
          <cell r="N149">
            <v>-94150.705530310515</v>
          </cell>
          <cell r="O149">
            <v>1.0121</v>
          </cell>
          <cell r="P149">
            <v>3578960.1828999999</v>
          </cell>
          <cell r="Q149">
            <v>3654293.3202</v>
          </cell>
          <cell r="R149">
            <v>-76244.668261330065</v>
          </cell>
        </row>
        <row r="150">
          <cell r="A150" t="str">
            <v>PMF08</v>
          </cell>
          <cell r="B150" t="str">
            <v>PIMCO Income Fund Wholesale Class</v>
          </cell>
          <cell r="C150" t="str">
            <v>Fixed Income - Global</v>
          </cell>
          <cell r="E150" t="str">
            <v>PMF08</v>
          </cell>
          <cell r="F150" t="str">
            <v>0.78%</v>
          </cell>
          <cell r="G150">
            <v>42464</v>
          </cell>
          <cell r="H150">
            <v>18823121.598634079</v>
          </cell>
          <cell r="I150">
            <v>728365.67</v>
          </cell>
          <cell r="J150" t="str">
            <v>PIMCO</v>
          </cell>
          <cell r="K150">
            <v>22</v>
          </cell>
          <cell r="L150">
            <v>18670266.80366718</v>
          </cell>
          <cell r="M150">
            <v>18670266.80366718</v>
          </cell>
          <cell r="N150">
            <v>152854.79496689886</v>
          </cell>
          <cell r="O150">
            <v>1.0415999999999999</v>
          </cell>
          <cell r="P150">
            <v>18071353.3013</v>
          </cell>
          <cell r="Q150">
            <v>17844085.638599999</v>
          </cell>
          <cell r="R150">
            <v>236721.99746832118</v>
          </cell>
        </row>
        <row r="151">
          <cell r="A151" t="str">
            <v>PMF09</v>
          </cell>
          <cell r="B151" t="str">
            <v>PIMCO ESG Global Bond Fund Wholesale Class</v>
          </cell>
          <cell r="C151" t="str">
            <v>Fixed Income - Global</v>
          </cell>
          <cell r="E151" t="str">
            <v>PMF09</v>
          </cell>
          <cell r="F151" t="str">
            <v>0.69%</v>
          </cell>
          <cell r="G151">
            <v>42829</v>
          </cell>
          <cell r="H151">
            <v>322604.81534745003</v>
          </cell>
          <cell r="I151">
            <v>50000</v>
          </cell>
          <cell r="J151" t="str">
            <v>PIMCO</v>
          </cell>
          <cell r="K151">
            <v>2</v>
          </cell>
          <cell r="L151">
            <v>271965.20746749995</v>
          </cell>
          <cell r="M151">
            <v>271965.20746749995</v>
          </cell>
          <cell r="N151">
            <v>50639.607879950083</v>
          </cell>
          <cell r="O151">
            <v>1.0245</v>
          </cell>
          <cell r="P151">
            <v>314890.01010000001</v>
          </cell>
          <cell r="Q151">
            <v>265980.64299999998</v>
          </cell>
          <cell r="R151">
            <v>50107.646593950034</v>
          </cell>
        </row>
        <row r="152">
          <cell r="A152" t="str">
            <v>PLM01</v>
          </cell>
          <cell r="B152" t="str">
            <v>Platinum Global</v>
          </cell>
          <cell r="C152" t="str">
            <v>Equity - Global</v>
          </cell>
          <cell r="E152" t="str">
            <v>PLM01</v>
          </cell>
          <cell r="F152" t="str">
            <v>1.35%</v>
          </cell>
          <cell r="G152">
            <v>41892</v>
          </cell>
          <cell r="H152">
            <v>27365037.453221995</v>
          </cell>
          <cell r="I152">
            <v>797383.89</v>
          </cell>
          <cell r="J152" t="str">
            <v>Platinum</v>
          </cell>
          <cell r="K152">
            <v>38</v>
          </cell>
          <cell r="L152">
            <v>27485803.773283698</v>
          </cell>
          <cell r="M152">
            <v>27485803.773283698</v>
          </cell>
          <cell r="N152">
            <v>-120766.32006170228</v>
          </cell>
          <cell r="O152">
            <v>1.4419999999999999</v>
          </cell>
          <cell r="P152">
            <v>18977141.090999998</v>
          </cell>
          <cell r="Q152">
            <v>18650881.300999999</v>
          </cell>
          <cell r="R152">
            <v>470466.61717999872</v>
          </cell>
        </row>
        <row r="153">
          <cell r="A153" t="str">
            <v>PLI01</v>
          </cell>
          <cell r="B153" t="str">
            <v>Plato Australian Shares Income</v>
          </cell>
          <cell r="C153" t="str">
            <v>Equity - Australia</v>
          </cell>
          <cell r="E153" t="str">
            <v>PLI01</v>
          </cell>
          <cell r="F153" t="str">
            <v>0.90%</v>
          </cell>
          <cell r="G153">
            <v>42142</v>
          </cell>
          <cell r="H153">
            <v>17118636.597408898</v>
          </cell>
          <cell r="I153">
            <v>261225.5</v>
          </cell>
          <cell r="J153" t="str">
            <v>Plato</v>
          </cell>
          <cell r="K153">
            <v>4</v>
          </cell>
          <cell r="L153">
            <v>16383519.63680166</v>
          </cell>
          <cell r="M153">
            <v>16383519.63680166</v>
          </cell>
          <cell r="N153">
            <v>735116.96060723811</v>
          </cell>
          <cell r="O153">
            <v>1.319</v>
          </cell>
          <cell r="P153">
            <v>12978496.2831</v>
          </cell>
          <cell r="Q153">
            <v>12838742.760600001</v>
          </cell>
          <cell r="R153">
            <v>184334.89617749871</v>
          </cell>
        </row>
        <row r="154">
          <cell r="A154" t="str">
            <v>PLI02</v>
          </cell>
          <cell r="B154" t="str">
            <v>Plato Australian Shares Income (Managed Risk)</v>
          </cell>
          <cell r="C154" t="str">
            <v>Equity - Australia</v>
          </cell>
          <cell r="E154" t="str">
            <v>PLI02</v>
          </cell>
          <cell r="F154" t="str">
            <v>0.99%</v>
          </cell>
          <cell r="G154">
            <v>42142</v>
          </cell>
          <cell r="H154">
            <v>1297921.1878456601</v>
          </cell>
          <cell r="I154">
            <v>205000</v>
          </cell>
          <cell r="J154" t="str">
            <v>Plato</v>
          </cell>
          <cell r="K154">
            <v>2</v>
          </cell>
          <cell r="L154">
            <v>1061789.7586919998</v>
          </cell>
          <cell r="M154">
            <v>1061789.7586919998</v>
          </cell>
          <cell r="N154">
            <v>236131.42915366031</v>
          </cell>
          <cell r="O154">
            <v>0.90890000000000004</v>
          </cell>
          <cell r="P154">
            <v>1428013.1894</v>
          </cell>
          <cell r="Q154">
            <v>1199762.4391999999</v>
          </cell>
          <cell r="R154">
            <v>207457.10685678013</v>
          </cell>
        </row>
        <row r="155">
          <cell r="A155" t="str">
            <v>PLI03</v>
          </cell>
          <cell r="B155" t="str">
            <v>Plato Global Shares Income A</v>
          </cell>
          <cell r="C155" t="str">
            <v>Equity - Global</v>
          </cell>
          <cell r="E155" t="str">
            <v>PLI03</v>
          </cell>
          <cell r="F155" t="str">
            <v>0.99%</v>
          </cell>
          <cell r="G155">
            <v>42552</v>
          </cell>
          <cell r="H155">
            <v>1333425.7323559199</v>
          </cell>
          <cell r="I155">
            <v>298044.74</v>
          </cell>
          <cell r="J155" t="str">
            <v>Plato</v>
          </cell>
          <cell r="K155">
            <v>4</v>
          </cell>
          <cell r="L155">
            <v>1612720.5540890801</v>
          </cell>
          <cell r="M155">
            <v>1612720.5540890801</v>
          </cell>
          <cell r="N155">
            <v>-279294.82173316018</v>
          </cell>
          <cell r="O155">
            <v>1.1012</v>
          </cell>
          <cell r="P155">
            <v>1210884.2466</v>
          </cell>
          <cell r="Q155">
            <v>1481462.9378</v>
          </cell>
          <cell r="R155">
            <v>-297961.25474944001</v>
          </cell>
        </row>
        <row r="156">
          <cell r="A156" t="str">
            <v>PRE01</v>
          </cell>
          <cell r="B156" t="str">
            <v>Presima Global Property Securities Concentrated</v>
          </cell>
          <cell r="C156" t="str">
            <v>Property - Global</v>
          </cell>
          <cell r="E156" t="str">
            <v>PRE01</v>
          </cell>
          <cell r="F156" t="str">
            <v>1.00%</v>
          </cell>
          <cell r="G156">
            <v>42705</v>
          </cell>
          <cell r="H156">
            <v>842077.71788169001</v>
          </cell>
          <cell r="I156" t="str">
            <v>0</v>
          </cell>
          <cell r="J156" t="str">
            <v>Presima</v>
          </cell>
          <cell r="K156" t="str">
            <v>0</v>
          </cell>
          <cell r="L156">
            <v>823563.78318168002</v>
          </cell>
          <cell r="M156">
            <v>823563.78318168002</v>
          </cell>
          <cell r="N156">
            <v>18513.934700009995</v>
          </cell>
          <cell r="O156">
            <v>0.97730300000000003</v>
          </cell>
          <cell r="P156">
            <v>861634.23</v>
          </cell>
          <cell r="Q156">
            <v>861634.23</v>
          </cell>
          <cell r="R156">
            <v>0</v>
          </cell>
        </row>
        <row r="157">
          <cell r="A157" t="str">
            <v>QGI01</v>
          </cell>
          <cell r="B157" t="str">
            <v>Quay Global Real Estate Fund</v>
          </cell>
          <cell r="C157" t="str">
            <v>Property - Global</v>
          </cell>
          <cell r="E157" t="str">
            <v>QGI01</v>
          </cell>
          <cell r="F157" t="str">
            <v>0.82%</v>
          </cell>
          <cell r="G157">
            <v>42452</v>
          </cell>
          <cell r="H157">
            <v>114236.81449792002</v>
          </cell>
          <cell r="I157" t="str">
            <v>0</v>
          </cell>
          <cell r="J157" t="str">
            <v>Quay</v>
          </cell>
          <cell r="K157" t="str">
            <v>0</v>
          </cell>
          <cell r="L157">
            <v>109060.67870112001</v>
          </cell>
          <cell r="M157">
            <v>109060.67870112001</v>
          </cell>
          <cell r="N157">
            <v>5176.1357968000084</v>
          </cell>
          <cell r="O157">
            <v>1.1366000000000001</v>
          </cell>
          <cell r="P157">
            <v>100507.4912</v>
          </cell>
          <cell r="Q157">
            <v>100507.4912</v>
          </cell>
          <cell r="R157">
            <v>0</v>
          </cell>
        </row>
        <row r="158">
          <cell r="A158" t="str">
            <v>RAI01</v>
          </cell>
          <cell r="B158" t="str">
            <v>RARE Infrastructure Value Fund - Hedged</v>
          </cell>
          <cell r="C158" t="str">
            <v>Infrastructure</v>
          </cell>
          <cell r="E158" t="str">
            <v>RAI01</v>
          </cell>
          <cell r="F158" t="str">
            <v>1.03%</v>
          </cell>
          <cell r="G158">
            <v>42716</v>
          </cell>
          <cell r="H158">
            <v>3917354.5125195994</v>
          </cell>
          <cell r="I158">
            <v>261128.68</v>
          </cell>
          <cell r="J158" t="str">
            <v>RARE</v>
          </cell>
          <cell r="K158">
            <v>6</v>
          </cell>
          <cell r="L158">
            <v>3747787.5956438002</v>
          </cell>
          <cell r="M158">
            <v>3747787.5956438002</v>
          </cell>
          <cell r="N158">
            <v>169566.91687579919</v>
          </cell>
          <cell r="O158">
            <v>1.0110999999999999</v>
          </cell>
          <cell r="P158">
            <v>3874349.236</v>
          </cell>
          <cell r="Q158">
            <v>3801001.6183000002</v>
          </cell>
          <cell r="R158">
            <v>74161.776256469821</v>
          </cell>
        </row>
        <row r="159">
          <cell r="A159" t="str">
            <v>RAI02</v>
          </cell>
          <cell r="B159" t="str">
            <v>RARE Infrastructure Value Fund - Unhedged</v>
          </cell>
          <cell r="C159" t="str">
            <v>Infrastructure</v>
          </cell>
          <cell r="E159" t="str">
            <v>RAI02</v>
          </cell>
          <cell r="F159" t="str">
            <v>0.97%</v>
          </cell>
          <cell r="G159">
            <v>42716</v>
          </cell>
          <cell r="H159">
            <v>8212479.7229823796</v>
          </cell>
          <cell r="I159">
            <v>580561.09</v>
          </cell>
          <cell r="J159" t="str">
            <v>RARE</v>
          </cell>
          <cell r="K159">
            <v>10</v>
          </cell>
          <cell r="L159">
            <v>8045249.28619128</v>
          </cell>
          <cell r="M159">
            <v>8045249.28619128</v>
          </cell>
          <cell r="N159">
            <v>167230.43679109961</v>
          </cell>
          <cell r="O159">
            <v>1.2422</v>
          </cell>
          <cell r="P159">
            <v>6611237.9029000001</v>
          </cell>
          <cell r="Q159">
            <v>6775517.3372</v>
          </cell>
          <cell r="R159">
            <v>-204067.91328745981</v>
          </cell>
        </row>
        <row r="160">
          <cell r="A160" t="str">
            <v>RAI03</v>
          </cell>
          <cell r="B160" t="str">
            <v>RARE Infrastructure Income</v>
          </cell>
          <cell r="C160" t="str">
            <v>Infrastructure</v>
          </cell>
          <cell r="E160" t="str">
            <v>RAI03</v>
          </cell>
          <cell r="F160" t="str">
            <v>1.03%</v>
          </cell>
          <cell r="G160">
            <v>42933</v>
          </cell>
          <cell r="H160">
            <v>330379.87150896003</v>
          </cell>
          <cell r="I160" t="str">
            <v>0</v>
          </cell>
          <cell r="J160" t="str">
            <v>RARE</v>
          </cell>
          <cell r="K160" t="str">
            <v>0</v>
          </cell>
          <cell r="L160">
            <v>316804.77884304</v>
          </cell>
          <cell r="M160">
            <v>316804.77884304</v>
          </cell>
          <cell r="N160">
            <v>13575.092665920034</v>
          </cell>
          <cell r="O160">
            <v>1.2558</v>
          </cell>
          <cell r="P160">
            <v>263083.1912</v>
          </cell>
          <cell r="Q160">
            <v>263083.1912</v>
          </cell>
          <cell r="R160">
            <v>0</v>
          </cell>
        </row>
        <row r="161">
          <cell r="A161" t="str">
            <v>RAI04</v>
          </cell>
          <cell r="B161" t="str">
            <v>RARE Emerging Markets</v>
          </cell>
          <cell r="C161" t="str">
            <v>Infrastructure</v>
          </cell>
          <cell r="E161" t="str">
            <v>RAI04</v>
          </cell>
          <cell r="F161" t="str">
            <v>1.23%</v>
          </cell>
          <cell r="G161">
            <v>42933</v>
          </cell>
          <cell r="H161">
            <v>189333.6831464</v>
          </cell>
          <cell r="I161" t="str">
            <v>0</v>
          </cell>
          <cell r="J161" t="str">
            <v>RARE</v>
          </cell>
          <cell r="K161" t="str">
            <v>0</v>
          </cell>
          <cell r="L161">
            <v>194861.67389519999</v>
          </cell>
          <cell r="M161">
            <v>194861.67389519999</v>
          </cell>
          <cell r="N161">
            <v>-5527.9907487999881</v>
          </cell>
          <cell r="O161">
            <v>1.8632</v>
          </cell>
          <cell r="P161">
            <v>101617.477</v>
          </cell>
          <cell r="Q161">
            <v>101617.477</v>
          </cell>
          <cell r="R161">
            <v>0</v>
          </cell>
        </row>
        <row r="162">
          <cell r="A162" t="str">
            <v>RLM01</v>
          </cell>
          <cell r="B162" t="str">
            <v>Realm High Income Fund</v>
          </cell>
          <cell r="C162" t="str">
            <v>Fixed Income - Australia</v>
          </cell>
          <cell r="E162" t="str">
            <v>RLM01</v>
          </cell>
          <cell r="F162" t="str">
            <v>1.20%</v>
          </cell>
          <cell r="G162">
            <v>43034</v>
          </cell>
          <cell r="H162">
            <v>341205.95580045</v>
          </cell>
          <cell r="I162">
            <v>66483</v>
          </cell>
          <cell r="J162" t="str">
            <v>Realm</v>
          </cell>
          <cell r="K162">
            <v>1</v>
          </cell>
          <cell r="L162">
            <v>274818.35860127001</v>
          </cell>
          <cell r="M162">
            <v>274818.35860127001</v>
          </cell>
          <cell r="N162">
            <v>66387.597199179989</v>
          </cell>
          <cell r="O162">
            <v>1.0634999999999999</v>
          </cell>
          <cell r="P162">
            <v>320833.05670000002</v>
          </cell>
          <cell r="Q162">
            <v>258360.77709999998</v>
          </cell>
          <cell r="R162">
            <v>66439.269354600037</v>
          </cell>
        </row>
        <row r="163">
          <cell r="A163" t="str">
            <v>RLM02</v>
          </cell>
          <cell r="B163" t="str">
            <v>Realm Cash Plus Fund - mFund Units</v>
          </cell>
          <cell r="C163" t="str">
            <v>Fixed Income - Australia</v>
          </cell>
          <cell r="E163" t="str">
            <v>RLM02</v>
          </cell>
          <cell r="F163">
            <v>4.4999999999999997E-3</v>
          </cell>
          <cell r="G163">
            <v>43136</v>
          </cell>
          <cell r="H163">
            <v>0</v>
          </cell>
          <cell r="I163" t="str">
            <v>0</v>
          </cell>
          <cell r="J163" t="str">
            <v>Realm</v>
          </cell>
          <cell r="K163" t="str">
            <v>0</v>
          </cell>
          <cell r="L163">
            <v>0</v>
          </cell>
          <cell r="M163">
            <v>0</v>
          </cell>
          <cell r="N163">
            <v>0</v>
          </cell>
          <cell r="O163">
            <v>1</v>
          </cell>
          <cell r="P163">
            <v>0</v>
          </cell>
          <cell r="Q163">
            <v>0</v>
          </cell>
          <cell r="R163">
            <v>0</v>
          </cell>
        </row>
        <row r="164">
          <cell r="A164" t="str">
            <v>RPO01</v>
          </cell>
          <cell r="B164" t="str">
            <v>Redpoint Global Infrastructure</v>
          </cell>
          <cell r="C164" t="str">
            <v>Infrastructure</v>
          </cell>
          <cell r="E164" t="str">
            <v>RPO01</v>
          </cell>
          <cell r="F164" t="str">
            <v>0.70%</v>
          </cell>
          <cell r="G164">
            <v>42705</v>
          </cell>
          <cell r="H164">
            <v>422533.09736308048</v>
          </cell>
          <cell r="I164" t="str">
            <v>0</v>
          </cell>
          <cell r="J164" t="str">
            <v>Redpoint</v>
          </cell>
          <cell r="K164" t="str">
            <v>0</v>
          </cell>
          <cell r="L164">
            <v>411352.52144991001</v>
          </cell>
          <cell r="M164">
            <v>411352.52144991001</v>
          </cell>
          <cell r="N164">
            <v>11180.575913170469</v>
          </cell>
          <cell r="O164">
            <v>1.5866849999999999</v>
          </cell>
          <cell r="P164">
            <v>266299.2953</v>
          </cell>
          <cell r="Q164">
            <v>266299.2953</v>
          </cell>
          <cell r="R164">
            <v>0</v>
          </cell>
        </row>
        <row r="165">
          <cell r="A165" t="str">
            <v>RPT02</v>
          </cell>
          <cell r="B165" t="str">
            <v>Redpoint Industrials Fund</v>
          </cell>
          <cell r="C165" t="str">
            <v>Equity - Australia</v>
          </cell>
          <cell r="E165" t="str">
            <v>RPT02</v>
          </cell>
          <cell r="F165">
            <v>6.0000000000000001E-3</v>
          </cell>
          <cell r="G165">
            <v>43091</v>
          </cell>
          <cell r="H165">
            <v>13239.04205955</v>
          </cell>
          <cell r="I165" t="str">
            <v>0</v>
          </cell>
          <cell r="J165" t="str">
            <v>Redpoint</v>
          </cell>
          <cell r="K165" t="str">
            <v>0</v>
          </cell>
          <cell r="L165">
            <v>12841.3915447</v>
          </cell>
          <cell r="M165">
            <v>12841.3915447</v>
          </cell>
          <cell r="N165">
            <v>397.65051485000004</v>
          </cell>
          <cell r="O165">
            <v>1.0221</v>
          </cell>
          <cell r="P165">
            <v>12952.7855</v>
          </cell>
          <cell r="Q165">
            <v>12952.7855</v>
          </cell>
          <cell r="R165">
            <v>0</v>
          </cell>
        </row>
        <row r="166">
          <cell r="A166" t="str">
            <v>SCH11</v>
          </cell>
          <cell r="B166" t="str">
            <v>Schroder Real Return CPI Plus 5% Wholesale</v>
          </cell>
          <cell r="C166" t="str">
            <v>Mixed</v>
          </cell>
          <cell r="E166" t="str">
            <v>SCH11</v>
          </cell>
          <cell r="F166" t="str">
            <v>0.90%</v>
          </cell>
          <cell r="G166">
            <v>42094</v>
          </cell>
          <cell r="H166">
            <v>19810777.987886652</v>
          </cell>
          <cell r="I166">
            <v>770195.48</v>
          </cell>
          <cell r="J166" t="str">
            <v>Schroders</v>
          </cell>
          <cell r="K166">
            <v>12</v>
          </cell>
          <cell r="L166">
            <v>19223324.921398122</v>
          </cell>
          <cell r="M166">
            <v>19223324.921398122</v>
          </cell>
          <cell r="N166">
            <v>587453.06648853049</v>
          </cell>
          <cell r="O166">
            <v>1.1447000000000001</v>
          </cell>
          <cell r="P166">
            <v>17306523.969500002</v>
          </cell>
          <cell r="Q166">
            <v>16895170.435400002</v>
          </cell>
          <cell r="R166">
            <v>470876.39048426982</v>
          </cell>
        </row>
        <row r="167">
          <cell r="A167" t="str">
            <v>SCH12</v>
          </cell>
          <cell r="B167" t="str">
            <v>Schroder Real Return CPI Plus 3.5% Wholesale</v>
          </cell>
          <cell r="C167" t="str">
            <v>Mixed</v>
          </cell>
          <cell r="E167" t="str">
            <v>SCH12</v>
          </cell>
          <cell r="F167" t="str">
            <v>0.60%</v>
          </cell>
          <cell r="G167">
            <v>42150</v>
          </cell>
          <cell r="H167">
            <v>1617722.6098937602</v>
          </cell>
          <cell r="I167">
            <v>573588.61</v>
          </cell>
          <cell r="J167" t="str">
            <v>Schroders</v>
          </cell>
          <cell r="K167">
            <v>2</v>
          </cell>
          <cell r="L167">
            <v>2182216.5488553103</v>
          </cell>
          <cell r="M167">
            <v>2182216.5488553103</v>
          </cell>
          <cell r="N167">
            <v>-564493.93896155013</v>
          </cell>
          <cell r="O167">
            <v>0.97120000000000006</v>
          </cell>
          <cell r="P167">
            <v>1665694.6148000001</v>
          </cell>
          <cell r="Q167">
            <v>2255987.3347</v>
          </cell>
          <cell r="R167">
            <v>-573292.28956687998</v>
          </cell>
        </row>
        <row r="168">
          <cell r="A168" t="str">
            <v>SCH21</v>
          </cell>
          <cell r="B168" t="str">
            <v>Schroder Wholesale Australian Equity</v>
          </cell>
          <cell r="C168" t="str">
            <v>Equity - Australia</v>
          </cell>
          <cell r="E168" t="str">
            <v>SCH21</v>
          </cell>
          <cell r="F168" t="str">
            <v>0.92%</v>
          </cell>
          <cell r="G168">
            <v>42094</v>
          </cell>
          <cell r="H168">
            <v>5614287.4851216096</v>
          </cell>
          <cell r="I168">
            <v>148244.65</v>
          </cell>
          <cell r="J168" t="str">
            <v>Schroders</v>
          </cell>
          <cell r="K168">
            <v>4</v>
          </cell>
          <cell r="L168">
            <v>5488568.3766932404</v>
          </cell>
          <cell r="M168">
            <v>5488568.3766932404</v>
          </cell>
          <cell r="N168">
            <v>125719.10842836928</v>
          </cell>
          <cell r="O168">
            <v>1.2930999999999999</v>
          </cell>
          <cell r="P168">
            <v>4341727.2330999998</v>
          </cell>
          <cell r="Q168">
            <v>4379992.3203999996</v>
          </cell>
          <cell r="R168">
            <v>-49480.584387629715</v>
          </cell>
        </row>
        <row r="169">
          <cell r="A169" t="str">
            <v>SCH22</v>
          </cell>
          <cell r="B169" t="str">
            <v>Schroder Equity Opportunities Wholesale</v>
          </cell>
          <cell r="C169" t="str">
            <v>Equity - Australia</v>
          </cell>
          <cell r="E169" t="str">
            <v>SCH22</v>
          </cell>
          <cell r="F169" t="str">
            <v>0.92%</v>
          </cell>
          <cell r="G169">
            <v>42094</v>
          </cell>
          <cell r="H169">
            <v>1900846.6252577999</v>
          </cell>
          <cell r="I169">
            <v>243058.14</v>
          </cell>
          <cell r="J169" t="str">
            <v>Schroders</v>
          </cell>
          <cell r="K169">
            <v>2</v>
          </cell>
          <cell r="L169">
            <v>1623351.49286312</v>
          </cell>
          <cell r="M169">
            <v>1623351.49286312</v>
          </cell>
          <cell r="N169">
            <v>277495.13239467982</v>
          </cell>
          <cell r="O169">
            <v>1.089</v>
          </cell>
          <cell r="P169">
            <v>1745497.3602</v>
          </cell>
          <cell r="Q169">
            <v>1518996.4376000001</v>
          </cell>
          <cell r="R169">
            <v>246659.50471139993</v>
          </cell>
        </row>
        <row r="170">
          <cell r="A170" t="str">
            <v>SCH31</v>
          </cell>
          <cell r="B170" t="str">
            <v>Schroder Global Core Wholesale</v>
          </cell>
          <cell r="C170" t="str">
            <v>Equity - Global</v>
          </cell>
          <cell r="E170" t="str">
            <v>SCH31</v>
          </cell>
          <cell r="F170" t="str">
            <v>0.40%</v>
          </cell>
          <cell r="G170">
            <v>42094</v>
          </cell>
          <cell r="H170">
            <v>2017026.8323986398</v>
          </cell>
          <cell r="I170">
            <v>168394.87000000002</v>
          </cell>
          <cell r="J170" t="str">
            <v>Schroders</v>
          </cell>
          <cell r="K170">
            <v>3</v>
          </cell>
          <cell r="L170">
            <v>2137917.2177132699</v>
          </cell>
          <cell r="M170">
            <v>2137917.2177132699</v>
          </cell>
          <cell r="N170">
            <v>-120890.38531463011</v>
          </cell>
          <cell r="O170">
            <v>0.63919999999999999</v>
          </cell>
          <cell r="P170">
            <v>3155548.8616999998</v>
          </cell>
          <cell r="Q170">
            <v>3414657.7506999997</v>
          </cell>
          <cell r="R170">
            <v>-165622.40184879999</v>
          </cell>
        </row>
        <row r="171">
          <cell r="A171" t="str">
            <v>SCH41</v>
          </cell>
          <cell r="B171" t="str">
            <v>Schroder Global Emerging Markets Wholesale</v>
          </cell>
          <cell r="C171" t="str">
            <v>Equity - Global</v>
          </cell>
          <cell r="E171" t="str">
            <v>SCH41</v>
          </cell>
          <cell r="F171" t="str">
            <v>1.40%</v>
          </cell>
          <cell r="G171">
            <v>42094</v>
          </cell>
          <cell r="H171">
            <v>488339.73174388998</v>
          </cell>
          <cell r="I171">
            <v>22082.67</v>
          </cell>
          <cell r="J171" t="str">
            <v>Schroders</v>
          </cell>
          <cell r="K171">
            <v>1</v>
          </cell>
          <cell r="L171">
            <v>514268.55333252007</v>
          </cell>
          <cell r="M171">
            <v>514268.55333252007</v>
          </cell>
          <cell r="N171">
            <v>-25928.82158863009</v>
          </cell>
          <cell r="O171">
            <v>1.1531</v>
          </cell>
          <cell r="P171">
            <v>423501.63189999998</v>
          </cell>
          <cell r="Q171">
            <v>442343.50020000001</v>
          </cell>
          <cell r="R171">
            <v>-21726.558336730035</v>
          </cell>
        </row>
        <row r="172">
          <cell r="A172" t="str">
            <v>SCH42</v>
          </cell>
          <cell r="B172" t="str">
            <v>Schroder Asia Pacific Wholesale</v>
          </cell>
          <cell r="C172" t="str">
            <v>Equity - Global</v>
          </cell>
          <cell r="E172" t="str">
            <v>SCH42</v>
          </cell>
          <cell r="F172" t="str">
            <v>1.37%</v>
          </cell>
          <cell r="G172">
            <v>42094</v>
          </cell>
          <cell r="H172">
            <v>3895560.9253739393</v>
          </cell>
          <cell r="I172">
            <v>202038.68</v>
          </cell>
          <cell r="J172" t="str">
            <v>Schroders</v>
          </cell>
          <cell r="K172">
            <v>5</v>
          </cell>
          <cell r="L172">
            <v>4007490.8891790505</v>
          </cell>
          <cell r="M172">
            <v>4007490.8891790505</v>
          </cell>
          <cell r="N172">
            <v>-111929.96380511113</v>
          </cell>
          <cell r="O172">
            <v>2.6708999999999996</v>
          </cell>
          <cell r="P172">
            <v>1458519.9465999999</v>
          </cell>
          <cell r="Q172">
            <v>1481238.5471000001</v>
          </cell>
          <cell r="R172">
            <v>-60679.110075450459</v>
          </cell>
        </row>
        <row r="173">
          <cell r="A173" t="str">
            <v>SCH45</v>
          </cell>
          <cell r="B173" t="str">
            <v>Schroder Global Recovery Fund - Wholesale</v>
          </cell>
          <cell r="C173" t="str">
            <v>Equity - Global</v>
          </cell>
          <cell r="E173" t="str">
            <v>SCH45</v>
          </cell>
          <cell r="F173" t="str">
            <v>0.98%</v>
          </cell>
          <cell r="G173">
            <v>42969</v>
          </cell>
          <cell r="H173">
            <v>101012.11512631</v>
          </cell>
          <cell r="I173" t="str">
            <v>0</v>
          </cell>
          <cell r="J173" t="str">
            <v>Schroders</v>
          </cell>
          <cell r="K173" t="str">
            <v>0</v>
          </cell>
          <cell r="L173">
            <v>100297.34192665</v>
          </cell>
          <cell r="M173">
            <v>100297.34192665</v>
          </cell>
          <cell r="N173">
            <v>714.77319966000505</v>
          </cell>
          <cell r="O173">
            <v>1.1023000000000001</v>
          </cell>
          <cell r="P173">
            <v>91637.589699999997</v>
          </cell>
          <cell r="Q173">
            <v>91637.589699999997</v>
          </cell>
          <cell r="R173">
            <v>0</v>
          </cell>
        </row>
        <row r="174">
          <cell r="A174" t="str">
            <v>SCH51</v>
          </cell>
          <cell r="B174" t="str">
            <v>Schroder Fixed Income Wholesale</v>
          </cell>
          <cell r="C174" t="str">
            <v>Fixed Income - Global</v>
          </cell>
          <cell r="E174" t="str">
            <v>SCH51</v>
          </cell>
          <cell r="F174" t="str">
            <v>0.50%</v>
          </cell>
          <cell r="G174">
            <v>42094</v>
          </cell>
          <cell r="H174">
            <v>12860107.9513856</v>
          </cell>
          <cell r="I174">
            <v>2574805.0100000002</v>
          </cell>
          <cell r="J174" t="str">
            <v>Schroders</v>
          </cell>
          <cell r="K174">
            <v>20</v>
          </cell>
          <cell r="L174">
            <v>14551786.310641579</v>
          </cell>
          <cell r="M174">
            <v>14551786.310641579</v>
          </cell>
          <cell r="N174">
            <v>-1691678.3592559788</v>
          </cell>
          <cell r="O174">
            <v>1.0880000000000001</v>
          </cell>
          <cell r="P174">
            <v>11819952.1612</v>
          </cell>
          <cell r="Q174">
            <v>13437793.2502</v>
          </cell>
          <cell r="R174">
            <v>-1760211.1048319999</v>
          </cell>
        </row>
        <row r="175">
          <cell r="A175" t="str">
            <v>SCH55</v>
          </cell>
          <cell r="B175" t="str">
            <v>Schroder Absolute Return Income Fund</v>
          </cell>
          <cell r="C175" t="str">
            <v>Fixed Income - Australia</v>
          </cell>
          <cell r="E175" t="str">
            <v>SCH55</v>
          </cell>
          <cell r="F175">
            <v>5.4000000000000003E-3</v>
          </cell>
          <cell r="G175">
            <v>43271</v>
          </cell>
          <cell r="H175">
            <v>149406.02662735997</v>
          </cell>
          <cell r="I175">
            <v>150000</v>
          </cell>
          <cell r="J175" t="str">
            <v>Schroders</v>
          </cell>
          <cell r="K175">
            <v>1</v>
          </cell>
          <cell r="L175">
            <v>0</v>
          </cell>
          <cell r="M175">
            <v>0</v>
          </cell>
          <cell r="N175">
            <v>149406.02662735997</v>
          </cell>
          <cell r="O175">
            <v>1.0312999999999999</v>
          </cell>
          <cell r="P175">
            <v>144871.5472</v>
          </cell>
          <cell r="Q175">
            <v>0</v>
          </cell>
          <cell r="R175">
            <v>149406.02662735997</v>
          </cell>
        </row>
        <row r="176">
          <cell r="A176" t="str">
            <v>SHF01</v>
          </cell>
          <cell r="B176" t="str">
            <v>SGH 20</v>
          </cell>
          <cell r="C176" t="str">
            <v>Equity - Australia</v>
          </cell>
          <cell r="E176" t="str">
            <v>SHF01</v>
          </cell>
          <cell r="F176" t="str">
            <v>1.23%</v>
          </cell>
          <cell r="G176">
            <v>41767</v>
          </cell>
          <cell r="H176">
            <v>822120.41175792005</v>
          </cell>
          <cell r="I176">
            <v>25000</v>
          </cell>
          <cell r="J176" t="str">
            <v>SG Hiscock</v>
          </cell>
          <cell r="K176">
            <v>1</v>
          </cell>
          <cell r="L176">
            <v>779580.98269583995</v>
          </cell>
          <cell r="M176">
            <v>779580.98269583995</v>
          </cell>
          <cell r="N176">
            <v>42539.429062080104</v>
          </cell>
          <cell r="O176">
            <v>2.0291999999999999</v>
          </cell>
          <cell r="P176">
            <v>405145.08760000003</v>
          </cell>
          <cell r="Q176">
            <v>392775.5858</v>
          </cell>
          <cell r="R176">
            <v>25100.193052560055</v>
          </cell>
        </row>
        <row r="177">
          <cell r="A177" t="str">
            <v>SHF02</v>
          </cell>
          <cell r="B177" t="str">
            <v>SGH ICE</v>
          </cell>
          <cell r="C177" t="str">
            <v>Equity - Australia</v>
          </cell>
          <cell r="E177" t="str">
            <v>SHF02</v>
          </cell>
          <cell r="F177" t="str">
            <v>1.18%</v>
          </cell>
          <cell r="G177">
            <v>41767</v>
          </cell>
          <cell r="H177">
            <v>15982957.54726544</v>
          </cell>
          <cell r="I177">
            <v>701298.94</v>
          </cell>
          <cell r="J177" t="str">
            <v>SG Hiscock</v>
          </cell>
          <cell r="K177">
            <v>22</v>
          </cell>
          <cell r="L177">
            <v>15699989.815431351</v>
          </cell>
          <cell r="M177">
            <v>15699989.815431351</v>
          </cell>
          <cell r="N177">
            <v>282967.73183408938</v>
          </cell>
          <cell r="O177">
            <v>2.2258</v>
          </cell>
          <cell r="P177">
            <v>7180769.8568000002</v>
          </cell>
          <cell r="Q177">
            <v>7139928.9715</v>
          </cell>
          <cell r="R177">
            <v>90903.642500740447</v>
          </cell>
        </row>
        <row r="178">
          <cell r="A178" t="str">
            <v>SHF03</v>
          </cell>
          <cell r="B178" t="str">
            <v>SGH Property Income</v>
          </cell>
          <cell r="C178" t="str">
            <v>Property - Australia</v>
          </cell>
          <cell r="E178" t="str">
            <v>SHF03</v>
          </cell>
          <cell r="F178" t="str">
            <v>0.95%</v>
          </cell>
          <cell r="G178">
            <v>41767</v>
          </cell>
          <cell r="H178">
            <v>1309994.488103</v>
          </cell>
          <cell r="I178">
            <v>16224.77</v>
          </cell>
          <cell r="J178" t="str">
            <v>SG Hiscock</v>
          </cell>
          <cell r="K178">
            <v>1</v>
          </cell>
          <cell r="L178">
            <v>1306478.1083065402</v>
          </cell>
          <cell r="M178">
            <v>1306478.1083065402</v>
          </cell>
          <cell r="N178">
            <v>3516.3797964598052</v>
          </cell>
          <cell r="O178">
            <v>0.35499999999999998</v>
          </cell>
          <cell r="P178">
            <v>3690125.3186000003</v>
          </cell>
          <cell r="Q178">
            <v>3735996.8782000006</v>
          </cell>
          <cell r="R178">
            <v>-16284.403658000096</v>
          </cell>
        </row>
        <row r="179">
          <cell r="A179" t="str">
            <v>SHF04</v>
          </cell>
          <cell r="B179" t="str">
            <v>SGH Emerging Companies</v>
          </cell>
          <cell r="C179" t="str">
            <v>Equity - Australia</v>
          </cell>
          <cell r="E179" t="str">
            <v>SHF04</v>
          </cell>
          <cell r="F179" t="str">
            <v>1.03%</v>
          </cell>
          <cell r="G179">
            <v>41767</v>
          </cell>
          <cell r="H179">
            <v>1364658.8649421497</v>
          </cell>
          <cell r="I179">
            <v>197180.7</v>
          </cell>
          <cell r="J179" t="str">
            <v>SG Hiscock</v>
          </cell>
          <cell r="K179">
            <v>6</v>
          </cell>
          <cell r="L179">
            <v>1352330.20915236</v>
          </cell>
          <cell r="M179">
            <v>1352330.20915236</v>
          </cell>
          <cell r="N179">
            <v>12328.655789789744</v>
          </cell>
          <cell r="O179">
            <v>4.0714999999999995</v>
          </cell>
          <cell r="P179">
            <v>335173.4901</v>
          </cell>
          <cell r="Q179">
            <v>317649.73320000002</v>
          </cell>
          <cell r="R179">
            <v>71347.976218349897</v>
          </cell>
        </row>
        <row r="180">
          <cell r="A180" t="str">
            <v>SHF07</v>
          </cell>
          <cell r="B180" t="str">
            <v>SGH Australia Plus Fund</v>
          </cell>
          <cell r="C180" t="str">
            <v>Equity - Australia</v>
          </cell>
          <cell r="E180" t="str">
            <v>SHF07</v>
          </cell>
          <cell r="F180" t="str">
            <v>0.70%</v>
          </cell>
          <cell r="G180">
            <v>42779</v>
          </cell>
          <cell r="H180">
            <v>892249.21700955008</v>
          </cell>
          <cell r="I180">
            <v>69300</v>
          </cell>
          <cell r="J180" t="str">
            <v>SG Hiscock</v>
          </cell>
          <cell r="K180">
            <v>4</v>
          </cell>
          <cell r="L180">
            <v>809895.71646287991</v>
          </cell>
          <cell r="M180">
            <v>809895.71646287991</v>
          </cell>
          <cell r="N180">
            <v>82353.50054667017</v>
          </cell>
          <cell r="O180">
            <v>1.6551</v>
          </cell>
          <cell r="P180">
            <v>539090.82050000003</v>
          </cell>
          <cell r="Q180">
            <v>497723.52289999992</v>
          </cell>
          <cell r="R180">
            <v>68467.01425776018</v>
          </cell>
        </row>
        <row r="181">
          <cell r="A181" t="str">
            <v>SMF01</v>
          </cell>
          <cell r="B181" t="str">
            <v>Smarter Money Active Cash</v>
          </cell>
          <cell r="C181" t="str">
            <v>Fixed Income - Australia</v>
          </cell>
          <cell r="E181" t="str">
            <v>SMF01</v>
          </cell>
          <cell r="F181" t="str">
            <v>0.66%</v>
          </cell>
          <cell r="G181">
            <v>41886</v>
          </cell>
          <cell r="H181">
            <v>5738109.5965884896</v>
          </cell>
          <cell r="I181">
            <v>145731.27000000002</v>
          </cell>
          <cell r="J181" t="str">
            <v>Smarter Money</v>
          </cell>
          <cell r="K181">
            <v>6</v>
          </cell>
          <cell r="L181">
            <v>5701164.2734627901</v>
          </cell>
          <cell r="M181">
            <v>5701164.2734627901</v>
          </cell>
          <cell r="N181">
            <v>36945.323125699535</v>
          </cell>
          <cell r="O181">
            <v>1.0510999999999999</v>
          </cell>
          <cell r="P181">
            <v>5459147.1759000001</v>
          </cell>
          <cell r="Q181">
            <v>5430197.4221000001</v>
          </cell>
          <cell r="R181">
            <v>30429.086219180066</v>
          </cell>
        </row>
        <row r="182">
          <cell r="A182" t="str">
            <v>SMF02</v>
          </cell>
          <cell r="B182" t="str">
            <v>Smarter Money Higher Income</v>
          </cell>
          <cell r="C182" t="str">
            <v>Fixed Income - Australia</v>
          </cell>
          <cell r="E182" t="str">
            <v>SMF02</v>
          </cell>
          <cell r="F182" t="str">
            <v>0.69%</v>
          </cell>
          <cell r="G182">
            <v>41939</v>
          </cell>
          <cell r="H182">
            <v>7091144.3632965004</v>
          </cell>
          <cell r="I182">
            <v>170955.26</v>
          </cell>
          <cell r="J182" t="str">
            <v>Smarter Money</v>
          </cell>
          <cell r="K182">
            <v>6</v>
          </cell>
          <cell r="L182">
            <v>7145721.0378069002</v>
          </cell>
          <cell r="M182">
            <v>7145721.0378069002</v>
          </cell>
          <cell r="N182">
            <v>-54576.674510399811</v>
          </cell>
          <cell r="O182">
            <v>0.99970000000000003</v>
          </cell>
          <cell r="P182">
            <v>7093272.3449999997</v>
          </cell>
          <cell r="Q182">
            <v>7164348.3435000004</v>
          </cell>
          <cell r="R182">
            <v>-71054.675700450694</v>
          </cell>
        </row>
        <row r="183">
          <cell r="A183" t="str">
            <v>SPE01</v>
          </cell>
          <cell r="B183" t="str">
            <v>Spectrum Strategic Income</v>
          </cell>
          <cell r="C183" t="str">
            <v>Fixed Income - Global</v>
          </cell>
          <cell r="E183" t="str">
            <v>SPE01</v>
          </cell>
          <cell r="F183" t="str">
            <v>0.75%</v>
          </cell>
          <cell r="G183">
            <v>42702</v>
          </cell>
          <cell r="H183">
            <v>2598443.0360926399</v>
          </cell>
          <cell r="I183">
            <v>323070.39</v>
          </cell>
          <cell r="J183" t="str">
            <v>Spectrum</v>
          </cell>
          <cell r="K183">
            <v>4</v>
          </cell>
          <cell r="L183">
            <v>2799851.87348013</v>
          </cell>
          <cell r="M183">
            <v>2799851.87348013</v>
          </cell>
          <cell r="N183">
            <v>-201408.83738749009</v>
          </cell>
          <cell r="O183">
            <v>1.0729</v>
          </cell>
          <cell r="P183">
            <v>1147744.1200000001</v>
          </cell>
          <cell r="Q183">
            <v>1147744.1200000001</v>
          </cell>
          <cell r="R183">
            <v>0</v>
          </cell>
        </row>
        <row r="184">
          <cell r="A184" t="str">
            <v>SPM01</v>
          </cell>
          <cell r="B184" t="str">
            <v>Spheria Australian Smaller Companies Fund</v>
          </cell>
          <cell r="C184" t="str">
            <v>Equity - Australia</v>
          </cell>
          <cell r="E184" t="str">
            <v>SPM01</v>
          </cell>
          <cell r="F184" t="str">
            <v>1.35%</v>
          </cell>
          <cell r="G184">
            <v>42674</v>
          </cell>
          <cell r="H184">
            <v>2014133.46999148</v>
          </cell>
          <cell r="I184">
            <v>229912.67</v>
          </cell>
          <cell r="J184" t="str">
            <v>Spheria</v>
          </cell>
          <cell r="K184">
            <v>2</v>
          </cell>
          <cell r="L184">
            <v>2236553.1613117</v>
          </cell>
          <cell r="M184">
            <v>2236553.1613117</v>
          </cell>
          <cell r="N184">
            <v>-222419.69132022001</v>
          </cell>
          <cell r="O184">
            <v>1.3268</v>
          </cell>
          <cell r="P184">
            <v>1518038.4911</v>
          </cell>
          <cell r="Q184">
            <v>1691539.2234999998</v>
          </cell>
          <cell r="R184">
            <v>-230200.77174831982</v>
          </cell>
        </row>
        <row r="185">
          <cell r="A185" t="str">
            <v>SPM02</v>
          </cell>
          <cell r="B185" t="str">
            <v>Spheria Australian Microcap Fund</v>
          </cell>
          <cell r="C185" t="str">
            <v>Equity - Australia</v>
          </cell>
          <cell r="E185" t="str">
            <v>SPM02</v>
          </cell>
          <cell r="F185" t="str">
            <v>1.10%</v>
          </cell>
          <cell r="G185">
            <v>42674</v>
          </cell>
          <cell r="H185">
            <v>1091031.5767551998</v>
          </cell>
          <cell r="I185">
            <v>107749.57</v>
          </cell>
          <cell r="J185" t="str">
            <v>Spheria</v>
          </cell>
          <cell r="K185">
            <v>3</v>
          </cell>
          <cell r="L185">
            <v>1036523.5693803</v>
          </cell>
          <cell r="M185">
            <v>1036523.5693803</v>
          </cell>
          <cell r="N185">
            <v>54508.007374899811</v>
          </cell>
          <cell r="O185">
            <v>2.7519999999999998</v>
          </cell>
          <cell r="P185">
            <v>396450.42759999994</v>
          </cell>
          <cell r="Q185">
            <v>377562.951</v>
          </cell>
          <cell r="R185">
            <v>51978.335603199819</v>
          </cell>
        </row>
        <row r="186">
          <cell r="A186" t="str">
            <v>SPM03</v>
          </cell>
          <cell r="B186" t="str">
            <v>Spheria Australian MidCap Fund</v>
          </cell>
          <cell r="C186" t="str">
            <v>Equity - Australia</v>
          </cell>
          <cell r="E186" t="str">
            <v>SPM03</v>
          </cell>
          <cell r="F186" t="str">
            <v>0.99%</v>
          </cell>
          <cell r="G186">
            <v>42674</v>
          </cell>
          <cell r="H186">
            <v>110408.63225303999</v>
          </cell>
          <cell r="I186">
            <v>25000</v>
          </cell>
          <cell r="J186" t="str">
            <v>Spheria</v>
          </cell>
          <cell r="K186">
            <v>1</v>
          </cell>
          <cell r="L186">
            <v>85165.821892920023</v>
          </cell>
          <cell r="M186">
            <v>85165.821892920023</v>
          </cell>
          <cell r="N186">
            <v>25242.810360119969</v>
          </cell>
          <cell r="O186">
            <v>1.3304</v>
          </cell>
          <cell r="P186">
            <v>82989.050099999993</v>
          </cell>
          <cell r="Q186">
            <v>64387.859600000011</v>
          </cell>
          <cell r="R186">
            <v>24747.023841199978</v>
          </cell>
        </row>
        <row r="187">
          <cell r="A187" t="str">
            <v>UAM01</v>
          </cell>
          <cell r="B187" t="str">
            <v>UBS Australian Small Companies Fund</v>
          </cell>
          <cell r="C187" t="str">
            <v>Equity - Australia</v>
          </cell>
          <cell r="E187" t="str">
            <v>UAM01</v>
          </cell>
          <cell r="F187" t="str">
            <v>0.85%</v>
          </cell>
          <cell r="G187">
            <v>42289</v>
          </cell>
          <cell r="H187">
            <v>8907549.9385393988</v>
          </cell>
          <cell r="I187">
            <v>473532.81</v>
          </cell>
          <cell r="J187" t="str">
            <v>UBS</v>
          </cell>
          <cell r="K187">
            <v>21</v>
          </cell>
          <cell r="L187">
            <v>8305483.1438490208</v>
          </cell>
          <cell r="M187">
            <v>8305483.1438490208</v>
          </cell>
          <cell r="N187">
            <v>602066.79469037801</v>
          </cell>
          <cell r="O187">
            <v>2.0137</v>
          </cell>
          <cell r="P187">
            <v>4423474.171197</v>
          </cell>
          <cell r="Q187">
            <v>4195112.2051969999</v>
          </cell>
          <cell r="R187">
            <v>459852.49093420006</v>
          </cell>
        </row>
        <row r="188">
          <cell r="A188" t="str">
            <v>UAM02</v>
          </cell>
          <cell r="B188" t="str">
            <v>UBS Microcap Fund</v>
          </cell>
          <cell r="C188" t="str">
            <v>Equity - Australia</v>
          </cell>
          <cell r="E188" t="str">
            <v>UAM02</v>
          </cell>
          <cell r="F188" t="str">
            <v>1.20%</v>
          </cell>
          <cell r="G188">
            <v>42289</v>
          </cell>
          <cell r="H188">
            <v>1093384.4604873999</v>
          </cell>
          <cell r="I188">
            <v>79375</v>
          </cell>
          <cell r="J188" t="str">
            <v>UBS</v>
          </cell>
          <cell r="K188">
            <v>3</v>
          </cell>
          <cell r="L188">
            <v>975187.81644560013</v>
          </cell>
          <cell r="M188">
            <v>975187.81644560013</v>
          </cell>
          <cell r="N188">
            <v>118196.64404179982</v>
          </cell>
          <cell r="O188">
            <v>1.7209000000000001</v>
          </cell>
          <cell r="P188">
            <v>635356.18599999999</v>
          </cell>
          <cell r="Q188">
            <v>589166.15300000005</v>
          </cell>
          <cell r="R188">
            <v>79488.427789699897</v>
          </cell>
        </row>
        <row r="189">
          <cell r="A189" t="str">
            <v>UAM03</v>
          </cell>
          <cell r="B189" t="str">
            <v>UBS HALO Australian Share Fund</v>
          </cell>
          <cell r="C189" t="str">
            <v>Equity - Australia</v>
          </cell>
          <cell r="E189" t="str">
            <v>UAM03</v>
          </cell>
          <cell r="F189" t="str">
            <v>0.90%</v>
          </cell>
          <cell r="G189">
            <v>42289</v>
          </cell>
          <cell r="H189">
            <v>163156.95254649999</v>
          </cell>
          <cell r="I189" t="str">
            <v>0</v>
          </cell>
          <cell r="J189" t="str">
            <v>UBS</v>
          </cell>
          <cell r="K189" t="str">
            <v>0</v>
          </cell>
          <cell r="L189">
            <v>156350.38589499998</v>
          </cell>
          <cell r="M189">
            <v>156350.38589499998</v>
          </cell>
          <cell r="N189">
            <v>6806.5666515000048</v>
          </cell>
          <cell r="O189">
            <v>1.0570999999999999</v>
          </cell>
          <cell r="P189">
            <v>154343.91500000001</v>
          </cell>
          <cell r="Q189">
            <v>154343.91500000001</v>
          </cell>
          <cell r="R189">
            <v>0</v>
          </cell>
        </row>
        <row r="190">
          <cell r="A190" t="str">
            <v>UAM04</v>
          </cell>
          <cell r="B190" t="str">
            <v>UBS Australian Bond Fund</v>
          </cell>
          <cell r="C190" t="str">
            <v>Fixed Income - Australia</v>
          </cell>
          <cell r="E190" t="str">
            <v>UAM04</v>
          </cell>
          <cell r="F190" t="str">
            <v>0.45%</v>
          </cell>
          <cell r="G190">
            <v>42289</v>
          </cell>
          <cell r="H190">
            <v>1055939.5699957751</v>
          </cell>
          <cell r="I190" t="str">
            <v>0</v>
          </cell>
          <cell r="J190" t="str">
            <v>UBS</v>
          </cell>
          <cell r="K190" t="str">
            <v>0</v>
          </cell>
          <cell r="L190">
            <v>1051797.8750664841</v>
          </cell>
          <cell r="M190">
            <v>1051797.8750664841</v>
          </cell>
          <cell r="N190">
            <v>4141.6949292910285</v>
          </cell>
          <cell r="O190">
            <v>1.0963000000000001</v>
          </cell>
          <cell r="P190">
            <v>963184.86727699998</v>
          </cell>
          <cell r="Q190">
            <v>963184.86727699998</v>
          </cell>
          <cell r="R190">
            <v>0</v>
          </cell>
        </row>
        <row r="191">
          <cell r="A191" t="str">
            <v>UAM05</v>
          </cell>
          <cell r="B191" t="str">
            <v>UBS Income Solution Fund</v>
          </cell>
          <cell r="C191" t="str">
            <v>Fixed Income - Global</v>
          </cell>
          <cell r="E191" t="str">
            <v>UAM05</v>
          </cell>
          <cell r="F191" t="str">
            <v>0.60%</v>
          </cell>
          <cell r="G191">
            <v>42289</v>
          </cell>
          <cell r="H191">
            <v>1530727.1536781839</v>
          </cell>
          <cell r="I191">
            <v>366.23999999999995</v>
          </cell>
          <cell r="J191" t="str">
            <v>UBS</v>
          </cell>
          <cell r="K191">
            <v>6</v>
          </cell>
          <cell r="L191">
            <v>1531348.5499154828</v>
          </cell>
          <cell r="M191">
            <v>1531348.5499154828</v>
          </cell>
          <cell r="N191">
            <v>-621.39623729884624</v>
          </cell>
          <cell r="O191">
            <v>0.92959999999999998</v>
          </cell>
          <cell r="P191">
            <v>1646651.413165</v>
          </cell>
          <cell r="Q191">
            <v>1646257.3101649999</v>
          </cell>
          <cell r="R191">
            <v>366.35814880011083</v>
          </cell>
        </row>
        <row r="192">
          <cell r="A192" t="str">
            <v>UAM06</v>
          </cell>
          <cell r="B192" t="str">
            <v>UBS Diversified Fixed Income Fund</v>
          </cell>
          <cell r="C192" t="str">
            <v>Fixed Income - Global</v>
          </cell>
          <cell r="E192" t="str">
            <v>UAM06</v>
          </cell>
          <cell r="F192" t="str">
            <v>0.55%</v>
          </cell>
          <cell r="G192">
            <v>42289</v>
          </cell>
          <cell r="H192">
            <v>2952963.757829098</v>
          </cell>
          <cell r="I192">
            <v>60000</v>
          </cell>
          <cell r="J192" t="str">
            <v>UBS</v>
          </cell>
          <cell r="K192">
            <v>1</v>
          </cell>
          <cell r="L192">
            <v>2881160.8905353202</v>
          </cell>
          <cell r="M192">
            <v>2881160.8905353202</v>
          </cell>
          <cell r="N192">
            <v>71802.867293777876</v>
          </cell>
          <cell r="O192">
            <v>0.89049999999999996</v>
          </cell>
          <cell r="P192">
            <v>3316073.8437160002</v>
          </cell>
          <cell r="Q192">
            <v>3248574.6877159998</v>
          </cell>
          <cell r="R192">
            <v>60107.998418000374</v>
          </cell>
        </row>
        <row r="193">
          <cell r="A193" t="str">
            <v>UAM07</v>
          </cell>
          <cell r="B193" t="str">
            <v>UBS Tactical Beta Fund - Balanced</v>
          </cell>
          <cell r="C193" t="str">
            <v>Mixed</v>
          </cell>
          <cell r="E193" t="str">
            <v>UAM07</v>
          </cell>
          <cell r="F193" t="str">
            <v>0.35%</v>
          </cell>
          <cell r="G193">
            <v>42289</v>
          </cell>
          <cell r="H193">
            <v>840945.68901790003</v>
          </cell>
          <cell r="I193">
            <v>50084.02</v>
          </cell>
          <cell r="J193" t="str">
            <v>UBS</v>
          </cell>
          <cell r="K193">
            <v>1</v>
          </cell>
          <cell r="L193">
            <v>885318.54825390002</v>
          </cell>
          <cell r="M193">
            <v>885318.54825390002</v>
          </cell>
          <cell r="N193">
            <v>-44372.859235999989</v>
          </cell>
          <cell r="O193">
            <v>1.2262999999999999</v>
          </cell>
          <cell r="P193">
            <v>685758.53300000005</v>
          </cell>
          <cell r="Q193">
            <v>726683.53300000005</v>
          </cell>
          <cell r="R193">
            <v>-50186.327499999999</v>
          </cell>
        </row>
        <row r="194">
          <cell r="A194" t="str">
            <v>UAM08</v>
          </cell>
          <cell r="B194" t="str">
            <v>UBS Tactical Beta Fund - Growth</v>
          </cell>
          <cell r="C194" t="str">
            <v>Mixed</v>
          </cell>
          <cell r="E194" t="str">
            <v>UAM08</v>
          </cell>
          <cell r="F194" t="str">
            <v>0.35%</v>
          </cell>
          <cell r="G194">
            <v>42289</v>
          </cell>
          <cell r="H194">
            <v>235592.32336499999</v>
          </cell>
          <cell r="I194" t="str">
            <v>0</v>
          </cell>
          <cell r="J194" t="str">
            <v>UBS</v>
          </cell>
          <cell r="K194" t="str">
            <v>0</v>
          </cell>
          <cell r="L194">
            <v>233778.11835599999</v>
          </cell>
          <cell r="M194">
            <v>233778.11835599999</v>
          </cell>
          <cell r="N194">
            <v>1814.2050089999975</v>
          </cell>
          <cell r="O194">
            <v>1.3895</v>
          </cell>
          <cell r="P194">
            <v>169551.87</v>
          </cell>
          <cell r="Q194">
            <v>169551.87</v>
          </cell>
          <cell r="R194">
            <v>0</v>
          </cell>
        </row>
        <row r="195">
          <cell r="A195" t="str">
            <v>UAM09</v>
          </cell>
          <cell r="B195" t="str">
            <v>UBS Tactical Beta Fund - Conservative</v>
          </cell>
          <cell r="C195" t="str">
            <v>Mixed</v>
          </cell>
          <cell r="E195" t="str">
            <v>UAM09</v>
          </cell>
          <cell r="F195" t="str">
            <v>0.35%</v>
          </cell>
          <cell r="G195">
            <v>42289</v>
          </cell>
          <cell r="H195">
            <v>0</v>
          </cell>
          <cell r="I195" t="str">
            <v>0</v>
          </cell>
          <cell r="J195" t="str">
            <v>UBS</v>
          </cell>
          <cell r="K195" t="str">
            <v>0</v>
          </cell>
          <cell r="L195">
            <v>0</v>
          </cell>
          <cell r="M195">
            <v>0</v>
          </cell>
          <cell r="N195">
            <v>0</v>
          </cell>
          <cell r="O195">
            <v>1.1073</v>
          </cell>
          <cell r="P195">
            <v>0</v>
          </cell>
          <cell r="Q195">
            <v>0</v>
          </cell>
          <cell r="R195">
            <v>0</v>
          </cell>
        </row>
        <row r="196">
          <cell r="A196" t="str">
            <v>UAM10</v>
          </cell>
          <cell r="B196" t="str">
            <v>UBS Clarion Global Property Securities Fund</v>
          </cell>
          <cell r="C196" t="str">
            <v>Property - Global</v>
          </cell>
          <cell r="E196" t="str">
            <v>UAM10</v>
          </cell>
          <cell r="F196" t="str">
            <v>0.90%</v>
          </cell>
          <cell r="G196">
            <v>42289</v>
          </cell>
          <cell r="H196">
            <v>552302.5050756</v>
          </cell>
          <cell r="I196">
            <v>97625.26999999999</v>
          </cell>
          <cell r="J196" t="str">
            <v>UBS</v>
          </cell>
          <cell r="K196">
            <v>2</v>
          </cell>
          <cell r="L196">
            <v>547244.15977567993</v>
          </cell>
          <cell r="M196">
            <v>547244.15977567993</v>
          </cell>
          <cell r="N196">
            <v>5058.3452999200672</v>
          </cell>
          <cell r="O196">
            <v>1.5309999999999999</v>
          </cell>
          <cell r="P196">
            <v>360746.2476</v>
          </cell>
          <cell r="Q196">
            <v>366098.58159999998</v>
          </cell>
          <cell r="R196">
            <v>-8194.4233539999586</v>
          </cell>
        </row>
        <row r="197">
          <cell r="A197" t="str">
            <v>UAM11</v>
          </cell>
          <cell r="B197" t="str">
            <v>UBS Property Securities Fund</v>
          </cell>
          <cell r="C197" t="str">
            <v>Property - Australia</v>
          </cell>
          <cell r="E197" t="str">
            <v>UAM11</v>
          </cell>
          <cell r="F197" t="str">
            <v>0.85%</v>
          </cell>
          <cell r="G197">
            <v>42289</v>
          </cell>
          <cell r="H197">
            <v>1105243.7483184333</v>
          </cell>
          <cell r="I197">
            <v>57458</v>
          </cell>
          <cell r="J197" t="str">
            <v>UBS</v>
          </cell>
          <cell r="K197">
            <v>3</v>
          </cell>
          <cell r="L197">
            <v>1025943.059463397</v>
          </cell>
          <cell r="M197">
            <v>1025943.059463397</v>
          </cell>
          <cell r="N197">
            <v>79300.688855036278</v>
          </cell>
          <cell r="O197">
            <v>1.1413</v>
          </cell>
          <cell r="P197">
            <v>968407.73531799996</v>
          </cell>
          <cell r="Q197">
            <v>917987.70531800005</v>
          </cell>
          <cell r="R197">
            <v>57544.380238999896</v>
          </cell>
        </row>
        <row r="198">
          <cell r="A198" t="str">
            <v>UAM13</v>
          </cell>
          <cell r="B198" t="str">
            <v>UBS Global High Conviction Fund</v>
          </cell>
          <cell r="C198" t="str">
            <v>Equity - Global</v>
          </cell>
          <cell r="E198" t="str">
            <v>UAM13</v>
          </cell>
          <cell r="F198" t="str">
            <v>1.10%</v>
          </cell>
          <cell r="G198">
            <v>42795</v>
          </cell>
          <cell r="H198">
            <v>47144.664731999997</v>
          </cell>
          <cell r="I198">
            <v>20159.25</v>
          </cell>
          <cell r="J198" t="str">
            <v>UBS</v>
          </cell>
          <cell r="K198">
            <v>1</v>
          </cell>
          <cell r="L198">
            <v>67402.021305999995</v>
          </cell>
          <cell r="M198">
            <v>67402.021305999995</v>
          </cell>
          <cell r="N198">
            <v>-20257.356573999998</v>
          </cell>
          <cell r="O198">
            <v>1.1155999999999999</v>
          </cell>
          <cell r="P198">
            <v>42259.47</v>
          </cell>
          <cell r="Q198">
            <v>60239.539999999994</v>
          </cell>
          <cell r="R198">
            <v>-20058.56609199999</v>
          </cell>
        </row>
        <row r="199">
          <cell r="A199" t="str">
            <v>UAM12</v>
          </cell>
          <cell r="B199" t="str">
            <v>UBS Clarion Global Infrastructure Securities Fund</v>
          </cell>
          <cell r="C199" t="str">
            <v>Infrastructure</v>
          </cell>
          <cell r="E199" t="str">
            <v>UAM12</v>
          </cell>
          <cell r="F199" t="str">
            <v>1.00%</v>
          </cell>
          <cell r="G199">
            <v>42586</v>
          </cell>
          <cell r="H199">
            <v>140078.0118144</v>
          </cell>
          <cell r="I199">
            <v>29030</v>
          </cell>
          <cell r="J199" t="str">
            <v>UBS</v>
          </cell>
          <cell r="K199">
            <v>1</v>
          </cell>
          <cell r="L199">
            <v>108699.0598488</v>
          </cell>
          <cell r="M199">
            <v>108699.0598488</v>
          </cell>
          <cell r="N199">
            <v>31378.951965600005</v>
          </cell>
          <cell r="O199">
            <v>1.1248</v>
          </cell>
          <cell r="P199">
            <v>124535.928</v>
          </cell>
          <cell r="Q199">
            <v>98396.903999999995</v>
          </cell>
          <cell r="R199">
            <v>29401.174195200005</v>
          </cell>
        </row>
        <row r="200">
          <cell r="A200" t="str">
            <v>LMA04</v>
          </cell>
          <cell r="B200" t="str">
            <v>Legg Mason Western Asset Australian Bond Trust A</v>
          </cell>
          <cell r="C200" t="str">
            <v>Fixed Income - Australia</v>
          </cell>
          <cell r="E200" t="str">
            <v>LMA04</v>
          </cell>
          <cell r="F200" t="str">
            <v>0.42%</v>
          </cell>
          <cell r="G200">
            <v>41904</v>
          </cell>
          <cell r="H200">
            <v>1835661.7225952789</v>
          </cell>
          <cell r="I200">
            <v>110968.89</v>
          </cell>
          <cell r="J200" t="str">
            <v>Western Asset</v>
          </cell>
          <cell r="K200">
            <v>6</v>
          </cell>
          <cell r="L200">
            <v>1841795.4057256181</v>
          </cell>
          <cell r="M200">
            <v>1841795.4057256181</v>
          </cell>
          <cell r="N200">
            <v>-6133.6831303392537</v>
          </cell>
          <cell r="O200">
            <v>1.2269099999999999</v>
          </cell>
          <cell r="P200">
            <v>1496166.5669</v>
          </cell>
          <cell r="Q200">
            <v>1504083.5305999999</v>
          </cell>
          <cell r="R200">
            <v>-9713.4019331669551</v>
          </cell>
        </row>
        <row r="205">
          <cell r="A205" t="str">
            <v>Number:</v>
          </cell>
        </row>
        <row r="207">
          <cell r="A207" t="str">
            <v>Equity - Australia</v>
          </cell>
          <cell r="B207">
            <v>56</v>
          </cell>
        </row>
        <row r="208">
          <cell r="A208" t="str">
            <v>Equity - Global</v>
          </cell>
          <cell r="B208">
            <v>54</v>
          </cell>
        </row>
        <row r="209">
          <cell r="A209" t="str">
            <v>Infrastructure</v>
          </cell>
          <cell r="B209">
            <v>8</v>
          </cell>
        </row>
        <row r="210">
          <cell r="A210" t="str">
            <v>Fixed Income - Australia</v>
          </cell>
          <cell r="B210">
            <v>19</v>
          </cell>
        </row>
        <row r="211">
          <cell r="A211" t="str">
            <v>Fixed Income - Global</v>
          </cell>
          <cell r="B211">
            <v>21</v>
          </cell>
        </row>
        <row r="212">
          <cell r="A212" t="str">
            <v>Mixed</v>
          </cell>
          <cell r="B212">
            <v>25</v>
          </cell>
        </row>
        <row r="213">
          <cell r="A213" t="str">
            <v>Property - Australia</v>
          </cell>
          <cell r="B213">
            <v>7</v>
          </cell>
        </row>
        <row r="214">
          <cell r="A214" t="str">
            <v>Property - Global</v>
          </cell>
          <cell r="B214">
            <v>9</v>
          </cell>
        </row>
        <row r="215">
          <cell r="A215" t="str">
            <v>Total</v>
          </cell>
          <cell r="B215">
            <v>199</v>
          </cell>
        </row>
        <row r="218">
          <cell r="B218" t="str">
            <v>FUM</v>
          </cell>
        </row>
        <row r="221">
          <cell r="B221" t="str">
            <v>FUM</v>
          </cell>
        </row>
        <row r="222">
          <cell r="A222" t="str">
            <v>Equity - Australia</v>
          </cell>
          <cell r="B222">
            <v>186734153.40807661</v>
          </cell>
        </row>
        <row r="223">
          <cell r="A223" t="str">
            <v>Equity - Global</v>
          </cell>
          <cell r="B223">
            <v>137557548.49359757</v>
          </cell>
        </row>
        <row r="224">
          <cell r="A224" t="str">
            <v>Infrastructure</v>
          </cell>
          <cell r="B224">
            <v>16274515.972857362</v>
          </cell>
        </row>
        <row r="225">
          <cell r="A225" t="str">
            <v>Fixed Income - Australia</v>
          </cell>
          <cell r="B225">
            <v>48527016.822124712</v>
          </cell>
        </row>
        <row r="226">
          <cell r="A226" t="str">
            <v>Fixed Income - Global</v>
          </cell>
          <cell r="B226">
            <v>184679156.73902681</v>
          </cell>
        </row>
        <row r="227">
          <cell r="A227" t="str">
            <v>Mixed</v>
          </cell>
          <cell r="B227">
            <v>63952724.1500552</v>
          </cell>
        </row>
        <row r="228">
          <cell r="A228" t="str">
            <v>Property - Australia</v>
          </cell>
          <cell r="B228">
            <v>29060830.715951163</v>
          </cell>
        </row>
        <row r="229">
          <cell r="A229" t="str">
            <v>Property - Global</v>
          </cell>
          <cell r="B229">
            <v>10198029.30333305</v>
          </cell>
        </row>
        <row r="230">
          <cell r="A230" t="str">
            <v>Total</v>
          </cell>
          <cell r="B230">
            <v>0</v>
          </cell>
        </row>
        <row r="234">
          <cell r="A234" t="str">
            <v>Aberdeen</v>
          </cell>
          <cell r="B234">
            <v>22702123.459667947</v>
          </cell>
        </row>
        <row r="235">
          <cell r="A235" t="str">
            <v>Allan Gray</v>
          </cell>
          <cell r="B235">
            <v>34667971.599513099</v>
          </cell>
        </row>
        <row r="236">
          <cell r="A236" t="str">
            <v>Alpha</v>
          </cell>
          <cell r="B236">
            <v>476096.87148389005</v>
          </cell>
        </row>
        <row r="237">
          <cell r="A237" t="str">
            <v>Alphinity</v>
          </cell>
          <cell r="B237">
            <v>144640.49543245998</v>
          </cell>
        </row>
        <row r="238">
          <cell r="A238" t="str">
            <v>Altrinsic</v>
          </cell>
          <cell r="B238">
            <v>429917.61422522878</v>
          </cell>
        </row>
        <row r="239">
          <cell r="A239" t="str">
            <v>AMP Capital</v>
          </cell>
          <cell r="B239">
            <v>27624725.141569201</v>
          </cell>
        </row>
        <row r="240">
          <cell r="A240" t="str">
            <v>Antares</v>
          </cell>
          <cell r="B240">
            <v>593558.03585540003</v>
          </cell>
        </row>
        <row r="241">
          <cell r="A241" t="str">
            <v>Antipodes</v>
          </cell>
          <cell r="B241">
            <v>11918399.619690068</v>
          </cell>
        </row>
        <row r="242">
          <cell r="A242" t="str">
            <v>APN</v>
          </cell>
          <cell r="B242">
            <v>17226344.19785</v>
          </cell>
        </row>
        <row r="243">
          <cell r="A243" t="str">
            <v>Armytage</v>
          </cell>
          <cell r="B243">
            <v>1385025.69987984</v>
          </cell>
        </row>
        <row r="244">
          <cell r="A244" t="str">
            <v>Atlas</v>
          </cell>
          <cell r="B244">
            <v>2294939.2082540002</v>
          </cell>
        </row>
        <row r="245">
          <cell r="A245" t="str">
            <v>Ausbil</v>
          </cell>
          <cell r="B245">
            <v>6037506.6354311965</v>
          </cell>
        </row>
        <row r="246">
          <cell r="A246" t="str">
            <v>Australian Ethical</v>
          </cell>
          <cell r="B246">
            <v>10791090.162359634</v>
          </cell>
        </row>
        <row r="247">
          <cell r="A247" t="str">
            <v>Avoca</v>
          </cell>
          <cell r="B247">
            <v>79508.77834614001</v>
          </cell>
        </row>
        <row r="248">
          <cell r="A248" t="str">
            <v>Bell</v>
          </cell>
          <cell r="B248">
            <v>2288316.7060275399</v>
          </cell>
        </row>
        <row r="249">
          <cell r="A249" t="str">
            <v>Bennelong</v>
          </cell>
          <cell r="B249">
            <v>35681548.04757259</v>
          </cell>
        </row>
        <row r="250">
          <cell r="A250" t="str">
            <v>Bentham</v>
          </cell>
          <cell r="B250">
            <v>21022609.644269135</v>
          </cell>
        </row>
        <row r="251">
          <cell r="A251" t="str">
            <v>Brandywine</v>
          </cell>
          <cell r="B251">
            <v>14970023.848547472</v>
          </cell>
        </row>
        <row r="252">
          <cell r="A252" t="str">
            <v>Copper Rock</v>
          </cell>
          <cell r="B252">
            <v>997777.88797499996</v>
          </cell>
        </row>
        <row r="253">
          <cell r="A253" t="str">
            <v>Dalton Street</v>
          </cell>
          <cell r="B253">
            <v>1795636.7468613498</v>
          </cell>
        </row>
        <row r="254">
          <cell r="A254" t="str">
            <v>Donaldson Burtson</v>
          </cell>
          <cell r="B254">
            <v>0</v>
          </cell>
        </row>
        <row r="255">
          <cell r="A255" t="str">
            <v>EFG Asset Management</v>
          </cell>
          <cell r="B255">
            <v>0</v>
          </cell>
        </row>
        <row r="256">
          <cell r="A256" t="str">
            <v>Epoch</v>
          </cell>
          <cell r="B256">
            <v>243117.38442800002</v>
          </cell>
        </row>
        <row r="257">
          <cell r="A257" t="str">
            <v>Equity Trustees</v>
          </cell>
          <cell r="B257">
            <v>257768.97689852002</v>
          </cell>
        </row>
        <row r="258">
          <cell r="A258" t="str">
            <v>Evans and Partners</v>
          </cell>
          <cell r="B258">
            <v>856298.92189628992</v>
          </cell>
        </row>
        <row r="259">
          <cell r="A259" t="str">
            <v>Fairview</v>
          </cell>
          <cell r="B259">
            <v>1489471.8337653701</v>
          </cell>
        </row>
        <row r="260">
          <cell r="A260" t="str">
            <v>Fidelity</v>
          </cell>
          <cell r="B260">
            <v>42789899.620649002</v>
          </cell>
        </row>
        <row r="261">
          <cell r="A261" t="str">
            <v>Flinders</v>
          </cell>
          <cell r="B261">
            <v>875231.12096663995</v>
          </cell>
        </row>
        <row r="262">
          <cell r="A262" t="str">
            <v>Janus Henderson</v>
          </cell>
          <cell r="B262">
            <v>4559292.81660752</v>
          </cell>
        </row>
        <row r="263">
          <cell r="A263" t="str">
            <v>Hyperion</v>
          </cell>
          <cell r="B263">
            <v>14544486.67793946</v>
          </cell>
        </row>
        <row r="264">
          <cell r="A264" t="str">
            <v>Insight</v>
          </cell>
          <cell r="B264">
            <v>0</v>
          </cell>
        </row>
        <row r="265">
          <cell r="A265" t="str">
            <v>Insync</v>
          </cell>
          <cell r="B265">
            <v>7659536.1255517509</v>
          </cell>
        </row>
        <row r="266">
          <cell r="A266" t="str">
            <v>Intermede</v>
          </cell>
          <cell r="B266">
            <v>139696.91905798079</v>
          </cell>
        </row>
        <row r="267">
          <cell r="A267" t="str">
            <v>Invesco</v>
          </cell>
          <cell r="B267">
            <v>5633538.8125221999</v>
          </cell>
        </row>
        <row r="268">
          <cell r="A268" t="str">
            <v>ipac</v>
          </cell>
          <cell r="B268">
            <v>1934598.0902179999</v>
          </cell>
        </row>
        <row r="269">
          <cell r="A269" t="str">
            <v>JP Morgan</v>
          </cell>
          <cell r="B269">
            <v>5252927.2005876899</v>
          </cell>
        </row>
        <row r="270">
          <cell r="A270" t="str">
            <v>Kapstream</v>
          </cell>
          <cell r="B270">
            <v>27308452.801155753</v>
          </cell>
        </row>
        <row r="271">
          <cell r="A271" t="str">
            <v>Lakehouse</v>
          </cell>
          <cell r="B271">
            <v>0</v>
          </cell>
        </row>
        <row r="272">
          <cell r="A272" t="str">
            <v>LaSalle</v>
          </cell>
          <cell r="B272">
            <v>195863.79070136999</v>
          </cell>
        </row>
        <row r="273">
          <cell r="A273" t="str">
            <v>Legg Mason</v>
          </cell>
          <cell r="B273">
            <v>0</v>
          </cell>
        </row>
        <row r="274">
          <cell r="A274" t="str">
            <v>Loftus Peak</v>
          </cell>
          <cell r="B274">
            <v>1297678.3352100798</v>
          </cell>
        </row>
        <row r="275">
          <cell r="A275" t="str">
            <v>Martin Currie</v>
          </cell>
          <cell r="B275">
            <v>17171347.92441009</v>
          </cell>
        </row>
        <row r="276">
          <cell r="A276" t="str">
            <v>Macquarie</v>
          </cell>
          <cell r="B276">
            <v>290032.62055200001</v>
          </cell>
        </row>
        <row r="277">
          <cell r="A277" t="str">
            <v>Merlon</v>
          </cell>
          <cell r="B277">
            <v>8188158.0756534794</v>
          </cell>
        </row>
        <row r="278">
          <cell r="A278" t="str">
            <v>MHOR Asset Management</v>
          </cell>
          <cell r="B278">
            <v>1196340.5954221401</v>
          </cell>
        </row>
        <row r="279">
          <cell r="A279" t="str">
            <v>MLC</v>
          </cell>
          <cell r="B279">
            <v>1244264.5280284199</v>
          </cell>
        </row>
        <row r="280">
          <cell r="A280" t="str">
            <v>Morningstar</v>
          </cell>
          <cell r="B280">
            <v>15516945.937768141</v>
          </cell>
        </row>
        <row r="281">
          <cell r="A281" t="str">
            <v>Munro Partners</v>
          </cell>
          <cell r="B281">
            <v>1929011.7686324399</v>
          </cell>
        </row>
        <row r="282">
          <cell r="A282" t="str">
            <v>Orbis</v>
          </cell>
          <cell r="B282">
            <v>19390376.4145119</v>
          </cell>
        </row>
        <row r="283">
          <cell r="A283" t="str">
            <v>PE Capital</v>
          </cell>
          <cell r="B283">
            <v>0</v>
          </cell>
        </row>
        <row r="284">
          <cell r="A284" t="str">
            <v>Peters MacGregor</v>
          </cell>
          <cell r="B284">
            <v>2380336.7557649999</v>
          </cell>
        </row>
        <row r="285">
          <cell r="A285" t="str">
            <v>Phoenix Portfolio</v>
          </cell>
          <cell r="B285">
            <v>1658133.8643420001</v>
          </cell>
        </row>
        <row r="286">
          <cell r="A286" t="str">
            <v>PIMCO</v>
          </cell>
          <cell r="B286">
            <v>110424515.90951158</v>
          </cell>
        </row>
        <row r="287">
          <cell r="A287" t="str">
            <v>Platinum</v>
          </cell>
          <cell r="B287">
            <v>27365037.453221995</v>
          </cell>
        </row>
        <row r="288">
          <cell r="A288" t="str">
            <v>Plato</v>
          </cell>
          <cell r="B288">
            <v>19749983.517610475</v>
          </cell>
        </row>
        <row r="289">
          <cell r="A289" t="str">
            <v>Presima</v>
          </cell>
          <cell r="B289">
            <v>842077.71788169001</v>
          </cell>
        </row>
        <row r="290">
          <cell r="A290" t="str">
            <v>Quay</v>
          </cell>
          <cell r="B290">
            <v>114236.81449792002</v>
          </cell>
        </row>
        <row r="291">
          <cell r="A291" t="str">
            <v>Ranger</v>
          </cell>
          <cell r="B291">
            <v>0</v>
          </cell>
        </row>
        <row r="292">
          <cell r="A292" t="str">
            <v>RARE</v>
          </cell>
          <cell r="B292">
            <v>12649547.790157339</v>
          </cell>
        </row>
        <row r="293">
          <cell r="A293" t="str">
            <v>Realm</v>
          </cell>
          <cell r="B293">
            <v>341205.95580045</v>
          </cell>
        </row>
        <row r="294">
          <cell r="A294" t="str">
            <v>Redpoint</v>
          </cell>
          <cell r="B294">
            <v>435772.13942263048</v>
          </cell>
        </row>
        <row r="295">
          <cell r="A295" t="str">
            <v>Schroders</v>
          </cell>
          <cell r="B295">
            <v>48455088.290815569</v>
          </cell>
        </row>
        <row r="296">
          <cell r="A296" t="str">
            <v>SG Hiscock</v>
          </cell>
          <cell r="B296">
            <v>20371980.529078059</v>
          </cell>
        </row>
        <row r="297">
          <cell r="A297" t="str">
            <v>Smarter Money</v>
          </cell>
          <cell r="B297">
            <v>12829253.95988499</v>
          </cell>
        </row>
        <row r="298">
          <cell r="A298" t="str">
            <v>Spectrum</v>
          </cell>
          <cell r="B298">
            <v>2598443.0360926399</v>
          </cell>
        </row>
        <row r="299">
          <cell r="A299" t="str">
            <v>Spheria</v>
          </cell>
          <cell r="B299">
            <v>3215573.6789997197</v>
          </cell>
        </row>
        <row r="300">
          <cell r="A300" t="str">
            <v>Tempo</v>
          </cell>
          <cell r="B300">
            <v>0</v>
          </cell>
        </row>
        <row r="301">
          <cell r="A301" t="str">
            <v>UBS</v>
          </cell>
          <cell r="B301">
            <v>18625028.775399692</v>
          </cell>
        </row>
        <row r="302">
          <cell r="A302" t="str">
            <v>Western Asset</v>
          </cell>
          <cell r="B302">
            <v>1835661.7225952789</v>
          </cell>
        </row>
        <row r="303">
          <cell r="B303">
            <v>676983975.60502243</v>
          </cell>
        </row>
        <row r="305">
          <cell r="A305" t="str">
            <v>Issuer Breakdown</v>
          </cell>
          <cell r="B305">
            <v>8.4656084656084651E-2</v>
          </cell>
        </row>
        <row r="307">
          <cell r="B307" t="str">
            <v>Number of Products on Issue</v>
          </cell>
        </row>
        <row r="309">
          <cell r="A309" t="str">
            <v>PIMCO</v>
          </cell>
          <cell r="B309">
            <v>9</v>
          </cell>
        </row>
        <row r="310">
          <cell r="A310" t="str">
            <v>Schroders</v>
          </cell>
          <cell r="B310">
            <v>10</v>
          </cell>
        </row>
        <row r="311">
          <cell r="A311" t="str">
            <v>Orbis</v>
          </cell>
          <cell r="B311">
            <v>1</v>
          </cell>
        </row>
        <row r="312">
          <cell r="A312" t="str">
            <v>Kapstream</v>
          </cell>
          <cell r="B312">
            <v>1</v>
          </cell>
        </row>
        <row r="313">
          <cell r="A313" t="str">
            <v>Allan Gray</v>
          </cell>
          <cell r="B313">
            <v>3</v>
          </cell>
        </row>
        <row r="314">
          <cell r="A314" t="str">
            <v>AMP Capital</v>
          </cell>
          <cell r="B314">
            <v>5</v>
          </cell>
        </row>
        <row r="315">
          <cell r="A315" t="str">
            <v>Bennelong</v>
          </cell>
          <cell r="B315">
            <v>5</v>
          </cell>
        </row>
        <row r="316">
          <cell r="A316" t="str">
            <v>Bentham</v>
          </cell>
          <cell r="B316">
            <v>3</v>
          </cell>
        </row>
        <row r="317">
          <cell r="A317" t="str">
            <v>Antipodes</v>
          </cell>
          <cell r="B317">
            <v>2</v>
          </cell>
        </row>
        <row r="318">
          <cell r="A318" t="str">
            <v>Fidelity</v>
          </cell>
          <cell r="B318">
            <v>11</v>
          </cell>
        </row>
        <row r="319">
          <cell r="A319" t="str">
            <v>Other</v>
          </cell>
          <cell r="B319">
            <v>149</v>
          </cell>
        </row>
        <row r="322">
          <cell r="A322" t="str">
            <v>Top 5 by Traded Value</v>
          </cell>
        </row>
        <row r="323">
          <cell r="A323" t="str">
            <v>ORB01</v>
          </cell>
          <cell r="B323">
            <v>2.6736389900000002</v>
          </cell>
        </row>
        <row r="324">
          <cell r="A324" t="str">
            <v>KAP01</v>
          </cell>
          <cell r="B324">
            <v>2.5963235899999999</v>
          </cell>
        </row>
        <row r="325">
          <cell r="A325" t="str">
            <v>SCH51</v>
          </cell>
          <cell r="B325">
            <v>2.5748050100000004</v>
          </cell>
        </row>
        <row r="326">
          <cell r="A326" t="str">
            <v>PMF02</v>
          </cell>
          <cell r="B326">
            <v>1.85637823</v>
          </cell>
        </row>
        <row r="327">
          <cell r="A327" t="str">
            <v>AQY01</v>
          </cell>
          <cell r="B327">
            <v>1.62172172</v>
          </cell>
        </row>
        <row r="329">
          <cell r="A329" t="str">
            <v>Top 10 mFunds by FUM ($ millions)</v>
          </cell>
        </row>
        <row r="330">
          <cell r="A330" t="str">
            <v>PMF02</v>
          </cell>
          <cell r="B330">
            <v>29.7060332800996</v>
          </cell>
        </row>
        <row r="331">
          <cell r="A331" t="str">
            <v>PMF03</v>
          </cell>
          <cell r="B331">
            <v>29.393119064527141</v>
          </cell>
        </row>
        <row r="332">
          <cell r="A332" t="str">
            <v>PLM01</v>
          </cell>
          <cell r="B332">
            <v>27.365037453221994</v>
          </cell>
        </row>
        <row r="333">
          <cell r="A333" t="str">
            <v>KAP01</v>
          </cell>
          <cell r="B333">
            <v>27.308452801155752</v>
          </cell>
        </row>
        <row r="334">
          <cell r="A334" t="str">
            <v>AQY01</v>
          </cell>
          <cell r="B334">
            <v>25.687887426416697</v>
          </cell>
        </row>
        <row r="335">
          <cell r="A335" t="str">
            <v>BAE03</v>
          </cell>
          <cell r="B335">
            <v>22.098699089788266</v>
          </cell>
        </row>
        <row r="336">
          <cell r="A336" t="str">
            <v>SCH11</v>
          </cell>
          <cell r="B336">
            <v>19.810777987886652</v>
          </cell>
        </row>
        <row r="337">
          <cell r="A337" t="str">
            <v>ORB01</v>
          </cell>
          <cell r="B337">
            <v>19.390376414511902</v>
          </cell>
        </row>
        <row r="338">
          <cell r="A338" t="str">
            <v>PMF08</v>
          </cell>
          <cell r="B338">
            <v>18.823121598634078</v>
          </cell>
        </row>
        <row r="339">
          <cell r="A339" t="str">
            <v>BAM05</v>
          </cell>
          <cell r="B339">
            <v>17.677965031814196</v>
          </cell>
        </row>
        <row r="341">
          <cell r="A341" t="str">
            <v>Equity - Australia</v>
          </cell>
        </row>
        <row r="342">
          <cell r="A342" t="str">
            <v>Equity - Global</v>
          </cell>
        </row>
        <row r="343">
          <cell r="A343" t="str">
            <v>Infrastructure</v>
          </cell>
        </row>
        <row r="344">
          <cell r="A344" t="str">
            <v>Fixed Income - Australia</v>
          </cell>
        </row>
        <row r="345">
          <cell r="A345" t="str">
            <v>Fixed Income - Global</v>
          </cell>
        </row>
        <row r="346">
          <cell r="A346" t="str">
            <v>Mixed</v>
          </cell>
        </row>
        <row r="347">
          <cell r="A347" t="str">
            <v>Property - Australia</v>
          </cell>
        </row>
        <row r="348">
          <cell r="A348" t="str">
            <v>Property - Global</v>
          </cell>
        </row>
        <row r="349">
          <cell r="A349" t="str">
            <v>Total</v>
          </cell>
        </row>
      </sheetData>
      <sheetData sheetId="30">
        <row r="2">
          <cell r="A2" t="str">
            <v>OEQ</v>
          </cell>
          <cell r="B2" t="str">
            <v>Orion Equities Limited</v>
          </cell>
          <cell r="C2" t="str">
            <v>Equity - Australia</v>
          </cell>
          <cell r="D2" t="str">
            <v>-</v>
          </cell>
          <cell r="E2" t="str">
            <v>OEQ</v>
          </cell>
          <cell r="F2" t="str">
            <v>n/a</v>
          </cell>
          <cell r="G2">
            <v>25891</v>
          </cell>
          <cell r="H2">
            <v>2939374.1850000001</v>
          </cell>
          <cell r="I2">
            <v>2610</v>
          </cell>
          <cell r="J2" t="str">
            <v>n/a</v>
          </cell>
          <cell r="K2">
            <v>2</v>
          </cell>
          <cell r="L2">
            <v>2939374.1850000001</v>
          </cell>
          <cell r="M2">
            <v>2939374.1850000001</v>
          </cell>
          <cell r="N2">
            <v>0</v>
          </cell>
          <cell r="O2">
            <v>0.16500000000000001</v>
          </cell>
          <cell r="P2">
            <v>27.85</v>
          </cell>
          <cell r="Q2">
            <v>0.59245960502692996</v>
          </cell>
          <cell r="R2">
            <v>-0.40754039497307004</v>
          </cell>
        </row>
        <row r="3">
          <cell r="A3" t="str">
            <v>SVS</v>
          </cell>
          <cell r="B3" t="str">
            <v>Sunvest Corporation Limited</v>
          </cell>
          <cell r="C3" t="str">
            <v>Equity - Global</v>
          </cell>
          <cell r="D3">
            <v>0</v>
          </cell>
          <cell r="E3" t="str">
            <v>SVS</v>
          </cell>
          <cell r="F3" t="str">
            <v>n/a</v>
          </cell>
          <cell r="G3">
            <v>32009</v>
          </cell>
          <cell r="H3">
            <v>3526116.96</v>
          </cell>
          <cell r="I3">
            <v>0</v>
          </cell>
          <cell r="J3" t="str">
            <v>n/a</v>
          </cell>
          <cell r="K3">
            <v>0</v>
          </cell>
          <cell r="L3">
            <v>3526116.96</v>
          </cell>
          <cell r="M3">
            <v>3526116.96</v>
          </cell>
          <cell r="N3">
            <v>0</v>
          </cell>
          <cell r="O3">
            <v>0.28999999999999998</v>
          </cell>
          <cell r="P3">
            <v>47</v>
          </cell>
          <cell r="Q3">
            <v>0.60638297872340419</v>
          </cell>
          <cell r="R3">
            <v>-0.39361702127659581</v>
          </cell>
        </row>
        <row r="4">
          <cell r="A4" t="str">
            <v>AIB</v>
          </cell>
          <cell r="B4" t="str">
            <v>Aurora Global Income Trust</v>
          </cell>
          <cell r="C4" t="str">
            <v>Equity - Global</v>
          </cell>
          <cell r="D4" t="str">
            <v>XAOAI</v>
          </cell>
          <cell r="E4" t="str">
            <v>AIB</v>
          </cell>
          <cell r="F4">
            <v>1.33</v>
          </cell>
          <cell r="G4">
            <v>39440</v>
          </cell>
          <cell r="H4">
            <v>2150720.5099999998</v>
          </cell>
          <cell r="I4">
            <v>47062.664999999994</v>
          </cell>
          <cell r="J4" t="str">
            <v>No</v>
          </cell>
          <cell r="K4">
            <v>29</v>
          </cell>
          <cell r="L4">
            <v>2369437.85</v>
          </cell>
          <cell r="M4">
            <v>2369437.85</v>
          </cell>
          <cell r="N4">
            <v>-218717.34000000032</v>
          </cell>
          <cell r="O4">
            <v>0.29499999999999998</v>
          </cell>
          <cell r="P4">
            <v>46.31</v>
          </cell>
          <cell r="Q4">
            <v>0.69099546534225864</v>
          </cell>
          <cell r="R4">
            <v>-0.30900453465774136</v>
          </cell>
        </row>
        <row r="5">
          <cell r="A5" t="str">
            <v>ZER</v>
          </cell>
          <cell r="B5" t="str">
            <v>Zeta Resources Limited</v>
          </cell>
          <cell r="C5" t="str">
            <v>Equity - Global</v>
          </cell>
          <cell r="D5" t="str">
            <v>XSOAI</v>
          </cell>
          <cell r="E5" t="str">
            <v>ZER</v>
          </cell>
          <cell r="F5">
            <v>0.5</v>
          </cell>
          <cell r="G5">
            <v>41437</v>
          </cell>
          <cell r="H5">
            <v>80342332.245000005</v>
          </cell>
          <cell r="I5">
            <v>96932.15</v>
          </cell>
          <cell r="J5" t="str">
            <v>Yes</v>
          </cell>
          <cell r="K5">
            <v>31</v>
          </cell>
          <cell r="L5">
            <v>75382929.019999996</v>
          </cell>
          <cell r="M5">
            <v>75382929.019999996</v>
          </cell>
          <cell r="N5">
            <v>4959403.2250000089</v>
          </cell>
          <cell r="O5">
            <v>0.40500000000000003</v>
          </cell>
          <cell r="P5">
            <v>53.75</v>
          </cell>
          <cell r="Q5">
            <v>0.7069767441860465</v>
          </cell>
          <cell r="R5">
            <v>-0.2930232558139535</v>
          </cell>
        </row>
        <row r="6">
          <cell r="A6" t="str">
            <v>BAF</v>
          </cell>
          <cell r="B6" t="str">
            <v>Blue Sky Alternatives Access Fund Limited</v>
          </cell>
          <cell r="C6" t="str">
            <v>Equity - Australia</v>
          </cell>
          <cell r="D6">
            <v>0</v>
          </cell>
          <cell r="E6" t="str">
            <v>BAF</v>
          </cell>
          <cell r="F6">
            <v>1.2</v>
          </cell>
          <cell r="G6">
            <v>41806</v>
          </cell>
          <cell r="H6">
            <v>170689484</v>
          </cell>
          <cell r="I6">
            <v>8941177.2925000004</v>
          </cell>
          <cell r="J6" t="str">
            <v>Yes</v>
          </cell>
          <cell r="K6">
            <v>1611</v>
          </cell>
          <cell r="L6">
            <v>169505947.09999999</v>
          </cell>
          <cell r="M6">
            <v>169505947.09999999</v>
          </cell>
          <cell r="N6">
            <v>1183536.900000006</v>
          </cell>
          <cell r="O6">
            <v>0.8</v>
          </cell>
          <cell r="P6">
            <v>112.99999999999999</v>
          </cell>
          <cell r="Q6">
            <v>0.70796460176991161</v>
          </cell>
          <cell r="R6">
            <v>-0.29203539823008839</v>
          </cell>
        </row>
        <row r="7">
          <cell r="A7" t="str">
            <v>BHD</v>
          </cell>
          <cell r="B7" t="str">
            <v>Benjamin Hornigold Limited</v>
          </cell>
          <cell r="C7" t="str">
            <v>Equity - Global</v>
          </cell>
          <cell r="D7">
            <v>0</v>
          </cell>
          <cell r="E7" t="str">
            <v>BHD</v>
          </cell>
          <cell r="F7">
            <v>3</v>
          </cell>
          <cell r="G7">
            <v>42867</v>
          </cell>
          <cell r="H7">
            <v>17150221.109999999</v>
          </cell>
          <cell r="I7">
            <v>502929.15</v>
          </cell>
          <cell r="J7" t="str">
            <v>Yes</v>
          </cell>
          <cell r="K7">
            <v>155</v>
          </cell>
          <cell r="L7">
            <v>18116430.75</v>
          </cell>
          <cell r="M7">
            <v>18116430.75</v>
          </cell>
          <cell r="N7">
            <v>-966209.6400000006</v>
          </cell>
          <cell r="O7">
            <v>0.71</v>
          </cell>
          <cell r="P7">
            <v>105.3</v>
          </cell>
          <cell r="Q7">
            <v>0.72174738841405506</v>
          </cell>
          <cell r="R7">
            <v>-0.27825261158594494</v>
          </cell>
        </row>
        <row r="8">
          <cell r="A8" t="str">
            <v>BTI</v>
          </cell>
          <cell r="B8" t="str">
            <v>Bailador Technology Investments Limited</v>
          </cell>
          <cell r="C8" t="str">
            <v>Equity - Australia</v>
          </cell>
          <cell r="D8">
            <v>0</v>
          </cell>
          <cell r="E8" t="str">
            <v>BTI</v>
          </cell>
          <cell r="F8">
            <v>1.75</v>
          </cell>
          <cell r="G8">
            <v>41964</v>
          </cell>
          <cell r="H8">
            <v>88983394.939999998</v>
          </cell>
          <cell r="I8">
            <v>1740078.2049999996</v>
          </cell>
          <cell r="J8" t="str">
            <v>Yes</v>
          </cell>
          <cell r="K8">
            <v>372</v>
          </cell>
          <cell r="L8">
            <v>94394547.335000008</v>
          </cell>
          <cell r="M8">
            <v>94394547.335000008</v>
          </cell>
          <cell r="N8">
            <v>-5411152.3950000107</v>
          </cell>
          <cell r="O8">
            <v>0.74</v>
          </cell>
          <cell r="P8">
            <v>107</v>
          </cell>
          <cell r="Q8">
            <v>0.73831775700934577</v>
          </cell>
          <cell r="R8">
            <v>-0.26168224299065423</v>
          </cell>
        </row>
        <row r="9">
          <cell r="A9" t="str">
            <v>BST</v>
          </cell>
          <cell r="B9" t="str">
            <v>Barrack St Investments Limited</v>
          </cell>
          <cell r="C9" t="str">
            <v>Equity - Australia</v>
          </cell>
          <cell r="D9">
            <v>0</v>
          </cell>
          <cell r="E9" t="str">
            <v>BST</v>
          </cell>
          <cell r="F9">
            <v>1</v>
          </cell>
          <cell r="G9">
            <v>41865</v>
          </cell>
          <cell r="H9">
            <v>18043272.355</v>
          </cell>
          <cell r="I9">
            <v>349998.22000000003</v>
          </cell>
          <cell r="J9" t="str">
            <v>Yes</v>
          </cell>
          <cell r="K9">
            <v>56</v>
          </cell>
          <cell r="L9">
            <v>16486238.700000001</v>
          </cell>
          <cell r="M9">
            <v>16486238.700000001</v>
          </cell>
          <cell r="N9">
            <v>1557033.6549999993</v>
          </cell>
          <cell r="O9">
            <v>0.98499999999999999</v>
          </cell>
          <cell r="P9">
            <v>117.30000000000001</v>
          </cell>
          <cell r="Q9">
            <v>0.77578857630008513</v>
          </cell>
          <cell r="R9">
            <v>-0.22421142369991487</v>
          </cell>
        </row>
        <row r="10">
          <cell r="A10" t="str">
            <v>KAT</v>
          </cell>
          <cell r="B10" t="str">
            <v>Katana Capital Limited</v>
          </cell>
          <cell r="C10" t="str">
            <v>Equity - Australia</v>
          </cell>
          <cell r="D10" t="str">
            <v>UBS BB</v>
          </cell>
          <cell r="E10" t="str">
            <v>KAT</v>
          </cell>
          <cell r="F10">
            <v>1.25</v>
          </cell>
          <cell r="G10">
            <v>38709</v>
          </cell>
          <cell r="H10">
            <v>33325582.545000002</v>
          </cell>
          <cell r="I10">
            <v>732176.09500000009</v>
          </cell>
          <cell r="J10" t="str">
            <v>Yes</v>
          </cell>
          <cell r="K10">
            <v>94</v>
          </cell>
          <cell r="L10">
            <v>32672139.75</v>
          </cell>
          <cell r="M10">
            <v>32672139.75</v>
          </cell>
          <cell r="N10">
            <v>653442.79500000179</v>
          </cell>
          <cell r="O10">
            <v>0.76500000000000001</v>
          </cell>
          <cell r="P10">
            <v>96.3</v>
          </cell>
          <cell r="Q10">
            <v>0.78400830737279337</v>
          </cell>
          <cell r="R10">
            <v>-0.21599169262720663</v>
          </cell>
        </row>
        <row r="11">
          <cell r="A11" t="str">
            <v>ABW</v>
          </cell>
          <cell r="B11" t="str">
            <v>Aurora Absolute Return Fund</v>
          </cell>
          <cell r="C11" t="str">
            <v>Equity - Australia</v>
          </cell>
          <cell r="D11" t="str">
            <v>RBA Cash Rate</v>
          </cell>
          <cell r="E11" t="str">
            <v>ABW</v>
          </cell>
          <cell r="F11" t="str">
            <v>n/a</v>
          </cell>
          <cell r="G11">
            <v>38908</v>
          </cell>
          <cell r="H11">
            <v>3083121.2600000002</v>
          </cell>
          <cell r="I11">
            <v>39521.440000000002</v>
          </cell>
          <cell r="J11" t="str">
            <v>n/a</v>
          </cell>
          <cell r="K11">
            <v>18</v>
          </cell>
          <cell r="L11">
            <v>3732199.4200000004</v>
          </cell>
          <cell r="M11">
            <v>3732199.4200000004</v>
          </cell>
          <cell r="N11">
            <v>-649078.16000000015</v>
          </cell>
          <cell r="O11">
            <v>0.38</v>
          </cell>
          <cell r="P11">
            <v>57.56</v>
          </cell>
          <cell r="Q11">
            <v>0.79916608756080609</v>
          </cell>
          <cell r="R11">
            <v>-0.20083391243919391</v>
          </cell>
        </row>
        <row r="12">
          <cell r="A12" t="str">
            <v>OZG</v>
          </cell>
          <cell r="B12" t="str">
            <v>Ozgrowth Limited</v>
          </cell>
          <cell r="C12" t="str">
            <v>Equity - Australia</v>
          </cell>
          <cell r="D12">
            <v>0</v>
          </cell>
          <cell r="E12" t="str">
            <v>OZG</v>
          </cell>
          <cell r="F12">
            <v>1</v>
          </cell>
          <cell r="G12">
            <v>39449</v>
          </cell>
          <cell r="H12">
            <v>64191429.899999999</v>
          </cell>
          <cell r="I12">
            <v>447177.14</v>
          </cell>
          <cell r="J12" t="str">
            <v>Yes</v>
          </cell>
          <cell r="K12">
            <v>43</v>
          </cell>
          <cell r="L12">
            <v>64191231.899999999</v>
          </cell>
          <cell r="M12">
            <v>64191231.899999999</v>
          </cell>
          <cell r="N12">
            <v>198</v>
          </cell>
          <cell r="O12">
            <v>0.18</v>
          </cell>
          <cell r="P12">
            <v>23</v>
          </cell>
          <cell r="Q12">
            <v>0.80434782608695654</v>
          </cell>
          <cell r="R12">
            <v>-0.19565217391304346</v>
          </cell>
        </row>
        <row r="13">
          <cell r="A13" t="str">
            <v>ACQ</v>
          </cell>
          <cell r="B13" t="str">
            <v>Acorn Capital Investment Fund Limited</v>
          </cell>
          <cell r="C13" t="str">
            <v>Equity - Australia</v>
          </cell>
          <cell r="D13">
            <v>0</v>
          </cell>
          <cell r="E13" t="str">
            <v>ACQ</v>
          </cell>
          <cell r="F13" t="str">
            <v>n/a</v>
          </cell>
          <cell r="G13">
            <v>41760</v>
          </cell>
          <cell r="H13">
            <v>60618119.199999996</v>
          </cell>
          <cell r="I13">
            <v>1496313.67</v>
          </cell>
          <cell r="J13" t="str">
            <v>n/a</v>
          </cell>
          <cell r="K13">
            <v>178</v>
          </cell>
          <cell r="L13">
            <v>58773219.920000002</v>
          </cell>
          <cell r="M13">
            <v>58773219.920000002</v>
          </cell>
          <cell r="N13">
            <v>1844899.2799999937</v>
          </cell>
          <cell r="O13">
            <v>1.1499999999999999</v>
          </cell>
          <cell r="P13">
            <v>137.54</v>
          </cell>
          <cell r="Q13">
            <v>0.81067325868838158</v>
          </cell>
          <cell r="R13">
            <v>-0.18932674131161842</v>
          </cell>
        </row>
        <row r="14">
          <cell r="A14" t="str">
            <v>GC1</v>
          </cell>
          <cell r="B14" t="str">
            <v>Glennon Small Companies Limited</v>
          </cell>
          <cell r="C14" t="str">
            <v>Equity - Australia</v>
          </cell>
          <cell r="D14" t="str">
            <v>XJOAI</v>
          </cell>
          <cell r="E14" t="str">
            <v>GC1</v>
          </cell>
          <cell r="F14">
            <v>1</v>
          </cell>
          <cell r="G14">
            <v>42237</v>
          </cell>
          <cell r="H14">
            <v>47589549</v>
          </cell>
          <cell r="I14">
            <v>990255.50000000012</v>
          </cell>
          <cell r="J14" t="str">
            <v>Yes</v>
          </cell>
          <cell r="K14">
            <v>319</v>
          </cell>
          <cell r="L14">
            <v>45923914.784999996</v>
          </cell>
          <cell r="M14">
            <v>45923914.784999996</v>
          </cell>
          <cell r="N14">
            <v>1665634.2150000036</v>
          </cell>
          <cell r="O14">
            <v>1</v>
          </cell>
          <cell r="P14">
            <v>119</v>
          </cell>
          <cell r="Q14">
            <v>0.81092436974789917</v>
          </cell>
          <cell r="R14">
            <v>-0.18907563025210083</v>
          </cell>
        </row>
        <row r="15">
          <cell r="A15" t="str">
            <v>FSI</v>
          </cell>
          <cell r="B15" t="str">
            <v>Flagship Investments Limited</v>
          </cell>
          <cell r="C15" t="str">
            <v>Equity - Australia</v>
          </cell>
          <cell r="D15" t="str">
            <v>XAOAI</v>
          </cell>
          <cell r="E15" t="str">
            <v>FSI</v>
          </cell>
          <cell r="F15" t="str">
            <v>n/a</v>
          </cell>
          <cell r="G15">
            <v>36880</v>
          </cell>
          <cell r="H15">
            <v>42717082.800000004</v>
          </cell>
          <cell r="I15">
            <v>390123.75499999995</v>
          </cell>
          <cell r="J15" t="str">
            <v>Yes</v>
          </cell>
          <cell r="K15">
            <v>65</v>
          </cell>
          <cell r="L15">
            <v>40804377.600000001</v>
          </cell>
          <cell r="M15">
            <v>40804377.600000001</v>
          </cell>
          <cell r="N15">
            <v>1912705.200000003</v>
          </cell>
          <cell r="O15">
            <v>1.675</v>
          </cell>
          <cell r="P15">
            <v>196.1</v>
          </cell>
          <cell r="Q15">
            <v>0.81591024987251404</v>
          </cell>
          <cell r="R15">
            <v>-0.18408975012748596</v>
          </cell>
        </row>
        <row r="16">
          <cell r="A16" t="str">
            <v>WGF</v>
          </cell>
          <cell r="B16" t="str">
            <v>Watermark Global Leaders Fund Limited</v>
          </cell>
          <cell r="C16" t="str">
            <v>Equity - Global</v>
          </cell>
          <cell r="D16">
            <v>0</v>
          </cell>
          <cell r="E16" t="str">
            <v>WGF</v>
          </cell>
          <cell r="F16">
            <v>1.2</v>
          </cell>
          <cell r="G16">
            <v>42725</v>
          </cell>
          <cell r="H16">
            <v>75565618.125</v>
          </cell>
          <cell r="I16">
            <v>2158149.8550000004</v>
          </cell>
          <cell r="J16" t="str">
            <v>Yes</v>
          </cell>
          <cell r="K16">
            <v>337</v>
          </cell>
          <cell r="L16">
            <v>75565618.125</v>
          </cell>
          <cell r="M16">
            <v>75565618.125</v>
          </cell>
          <cell r="N16">
            <v>0</v>
          </cell>
          <cell r="O16">
            <v>0.91500000000000004</v>
          </cell>
          <cell r="P16">
            <v>110.00000000000001</v>
          </cell>
          <cell r="Q16">
            <v>0.83636363636363631</v>
          </cell>
          <cell r="R16">
            <v>-0.16363636363636369</v>
          </cell>
        </row>
        <row r="17">
          <cell r="A17" t="str">
            <v>CVF</v>
          </cell>
          <cell r="B17" t="str">
            <v>Contrarian Value Fund Limited</v>
          </cell>
          <cell r="C17" t="str">
            <v>Equity - Australia</v>
          </cell>
          <cell r="D17" t="str">
            <v>RBA Cash Rate plus 4.25%</v>
          </cell>
          <cell r="E17" t="str">
            <v>CVF</v>
          </cell>
          <cell r="F17">
            <v>1</v>
          </cell>
          <cell r="G17">
            <v>42009</v>
          </cell>
          <cell r="H17">
            <v>82213126.379999995</v>
          </cell>
          <cell r="I17">
            <v>1550847.46</v>
          </cell>
          <cell r="J17" t="str">
            <v>Yes</v>
          </cell>
          <cell r="K17">
            <v>140</v>
          </cell>
          <cell r="L17">
            <v>75942633.690000013</v>
          </cell>
          <cell r="M17">
            <v>75942633.690000013</v>
          </cell>
          <cell r="N17">
            <v>6270492.6899999827</v>
          </cell>
          <cell r="O17">
            <v>1.18</v>
          </cell>
          <cell r="P17">
            <v>130</v>
          </cell>
          <cell r="Q17">
            <v>0.83846153846153859</v>
          </cell>
          <cell r="R17">
            <v>-0.16153846153846141</v>
          </cell>
        </row>
        <row r="18">
          <cell r="A18" t="str">
            <v>ALI</v>
          </cell>
          <cell r="B18" t="str">
            <v>Argo Global Listed Infrastructure Limited</v>
          </cell>
          <cell r="C18" t="str">
            <v>Infrastructure</v>
          </cell>
          <cell r="D18" t="str">
            <v>-</v>
          </cell>
          <cell r="E18" t="str">
            <v>ALI</v>
          </cell>
          <cell r="F18">
            <v>1.2</v>
          </cell>
          <cell r="G18">
            <v>42188</v>
          </cell>
          <cell r="H18">
            <v>255918119.40000001</v>
          </cell>
          <cell r="I18">
            <v>5669249.5175000001</v>
          </cell>
          <cell r="J18" t="str">
            <v>No</v>
          </cell>
          <cell r="K18">
            <v>689</v>
          </cell>
          <cell r="L18">
            <v>254142449.84999999</v>
          </cell>
          <cell r="M18">
            <v>254142449.84999999</v>
          </cell>
          <cell r="N18">
            <v>1775669.5500000119</v>
          </cell>
          <cell r="O18">
            <v>1.8</v>
          </cell>
          <cell r="P18">
            <v>211</v>
          </cell>
          <cell r="Q18">
            <v>0.83886255924170616</v>
          </cell>
          <cell r="R18">
            <v>-0.16113744075829384</v>
          </cell>
        </row>
        <row r="19">
          <cell r="A19" t="str">
            <v>NSC</v>
          </cell>
          <cell r="B19" t="str">
            <v>NAOS Small Cap Opportunities Company Limited</v>
          </cell>
          <cell r="C19" t="str">
            <v>Equity - Australia</v>
          </cell>
          <cell r="D19">
            <v>0</v>
          </cell>
          <cell r="E19" t="str">
            <v>NSC</v>
          </cell>
          <cell r="F19">
            <v>1.25</v>
          </cell>
          <cell r="G19">
            <v>38071</v>
          </cell>
          <cell r="H19">
            <v>129281791.59</v>
          </cell>
          <cell r="I19">
            <v>3746491.855</v>
          </cell>
          <cell r="J19" t="str">
            <v>Yes</v>
          </cell>
          <cell r="K19">
            <v>614</v>
          </cell>
          <cell r="L19">
            <v>132661707.71000001</v>
          </cell>
          <cell r="M19">
            <v>132661707.71000001</v>
          </cell>
          <cell r="N19">
            <v>-3379916.1200000048</v>
          </cell>
          <cell r="O19">
            <v>0.76500000000000001</v>
          </cell>
          <cell r="P19">
            <v>94</v>
          </cell>
          <cell r="Q19">
            <v>0.84042553191489366</v>
          </cell>
          <cell r="R19">
            <v>-0.15957446808510634</v>
          </cell>
        </row>
        <row r="20">
          <cell r="A20" t="str">
            <v>MAX</v>
          </cell>
          <cell r="B20" t="str">
            <v>Millinium's Alternatives Fund</v>
          </cell>
          <cell r="C20" t="str">
            <v>Equity - Australia</v>
          </cell>
          <cell r="D20">
            <v>0</v>
          </cell>
          <cell r="E20" t="str">
            <v>MAX</v>
          </cell>
          <cell r="F20">
            <v>0.2</v>
          </cell>
          <cell r="G20">
            <v>39071</v>
          </cell>
          <cell r="H20">
            <v>7931919.5999999996</v>
          </cell>
          <cell r="I20">
            <v>0</v>
          </cell>
          <cell r="J20" t="str">
            <v>n/a</v>
          </cell>
          <cell r="K20">
            <v>0</v>
          </cell>
          <cell r="L20">
            <v>7931919.5999999996</v>
          </cell>
          <cell r="M20">
            <v>7931919.5999999996</v>
          </cell>
          <cell r="N20">
            <v>0</v>
          </cell>
          <cell r="O20">
            <v>6.6</v>
          </cell>
          <cell r="P20">
            <v>783.49</v>
          </cell>
          <cell r="Q20">
            <v>0.84238471454645236</v>
          </cell>
          <cell r="R20">
            <v>-0.15761528545354764</v>
          </cell>
        </row>
        <row r="21">
          <cell r="A21" t="str">
            <v>TOP</v>
          </cell>
          <cell r="B21" t="str">
            <v>Thorney Opportunities Ltd</v>
          </cell>
          <cell r="C21" t="str">
            <v>Equity - Australia</v>
          </cell>
          <cell r="D21" t="str">
            <v>XAOAI</v>
          </cell>
          <cell r="E21" t="str">
            <v>TOP</v>
          </cell>
          <cell r="F21">
            <v>0.75</v>
          </cell>
          <cell r="G21">
            <v>36607</v>
          </cell>
          <cell r="H21">
            <v>140497268.69999999</v>
          </cell>
          <cell r="I21">
            <v>2434793.8825000003</v>
          </cell>
          <cell r="J21" t="str">
            <v>Yes</v>
          </cell>
          <cell r="K21">
            <v>412</v>
          </cell>
          <cell r="L21">
            <v>142533461</v>
          </cell>
          <cell r="M21">
            <v>142533461</v>
          </cell>
          <cell r="N21">
            <v>-2036192.3000000119</v>
          </cell>
          <cell r="O21">
            <v>0.69</v>
          </cell>
          <cell r="P21">
            <v>80.7</v>
          </cell>
          <cell r="Q21">
            <v>0.84262701363073111</v>
          </cell>
          <cell r="R21">
            <v>-0.15737298636926889</v>
          </cell>
        </row>
        <row r="22">
          <cell r="A22" t="str">
            <v>MA1</v>
          </cell>
          <cell r="B22" t="str">
            <v>Monash Absolute Investment Company Limited</v>
          </cell>
          <cell r="C22" t="str">
            <v>Equity - Australia</v>
          </cell>
          <cell r="D22" t="str">
            <v>XJOAI</v>
          </cell>
          <cell r="E22" t="str">
            <v>MA1</v>
          </cell>
          <cell r="F22">
            <v>1.5</v>
          </cell>
          <cell r="G22">
            <v>42472</v>
          </cell>
          <cell r="H22">
            <v>40363217.519999996</v>
          </cell>
          <cell r="I22">
            <v>1569776.1099999999</v>
          </cell>
          <cell r="J22" t="str">
            <v>Yes</v>
          </cell>
          <cell r="K22">
            <v>163</v>
          </cell>
          <cell r="L22">
            <v>40900401.359999999</v>
          </cell>
          <cell r="M22">
            <v>40900401.359999999</v>
          </cell>
          <cell r="N22">
            <v>-537183.84000000358</v>
          </cell>
          <cell r="O22">
            <v>0.82</v>
          </cell>
          <cell r="P22">
            <v>97.350000000000009</v>
          </cell>
          <cell r="Q22">
            <v>0.84745762711864403</v>
          </cell>
          <cell r="R22">
            <v>-0.15254237288135597</v>
          </cell>
        </row>
        <row r="23">
          <cell r="A23" t="str">
            <v>FPC</v>
          </cell>
          <cell r="B23" t="str">
            <v>Fat Prophets Global Contrarian Fund Ltd</v>
          </cell>
          <cell r="C23" t="str">
            <v>Equity - Global</v>
          </cell>
          <cell r="D23" t="str">
            <v>-</v>
          </cell>
          <cell r="E23" t="str">
            <v>FPC</v>
          </cell>
          <cell r="F23">
            <v>1.25</v>
          </cell>
          <cell r="G23">
            <v>42816</v>
          </cell>
          <cell r="H23">
            <v>41802818.310000002</v>
          </cell>
          <cell r="I23">
            <v>1110122.8850000002</v>
          </cell>
          <cell r="J23" t="str">
            <v>Yes</v>
          </cell>
          <cell r="K23">
            <v>155</v>
          </cell>
          <cell r="L23">
            <v>44499774.329999998</v>
          </cell>
          <cell r="M23">
            <v>44499774.329999998</v>
          </cell>
          <cell r="N23">
            <v>-2696956.0199999958</v>
          </cell>
          <cell r="O23">
            <v>0.93</v>
          </cell>
          <cell r="P23">
            <v>116.17</v>
          </cell>
          <cell r="Q23">
            <v>0.85219936300249632</v>
          </cell>
          <cell r="R23">
            <v>-0.14780063699750368</v>
          </cell>
        </row>
        <row r="24">
          <cell r="A24" t="str">
            <v>ALF</v>
          </cell>
          <cell r="B24" t="str">
            <v>Australian Leaders Fund Limited</v>
          </cell>
          <cell r="C24" t="str">
            <v>Equity - Australia</v>
          </cell>
          <cell r="D24" t="str">
            <v>XAOAI</v>
          </cell>
          <cell r="E24" t="str">
            <v>ALF</v>
          </cell>
          <cell r="F24">
            <v>2.72</v>
          </cell>
          <cell r="G24">
            <v>38027</v>
          </cell>
          <cell r="H24">
            <v>280699641.72000003</v>
          </cell>
          <cell r="I24">
            <v>12039579.272500003</v>
          </cell>
          <cell r="J24" t="str">
            <v>Yes</v>
          </cell>
          <cell r="K24">
            <v>1342</v>
          </cell>
          <cell r="L24">
            <v>283424880.96000004</v>
          </cell>
          <cell r="M24">
            <v>283424880.96000004</v>
          </cell>
          <cell r="N24">
            <v>-2725239.2400000095</v>
          </cell>
          <cell r="O24">
            <v>1.03</v>
          </cell>
          <cell r="P24">
            <v>122</v>
          </cell>
          <cell r="Q24">
            <v>0.85655737704918034</v>
          </cell>
          <cell r="R24">
            <v>-0.14344262295081966</v>
          </cell>
        </row>
        <row r="25">
          <cell r="A25" t="str">
            <v>MVT</v>
          </cell>
          <cell r="B25" t="str">
            <v>Mercantile Investment Company Ltd</v>
          </cell>
          <cell r="C25" t="str">
            <v>Equity - Australia</v>
          </cell>
          <cell r="D25" t="str">
            <v>Flat 7% return over financial year</v>
          </cell>
          <cell r="E25" t="str">
            <v>MVT</v>
          </cell>
          <cell r="F25" t="str">
            <v>n/a</v>
          </cell>
          <cell r="G25">
            <v>39686</v>
          </cell>
          <cell r="H25">
            <v>49122500</v>
          </cell>
          <cell r="I25">
            <v>95182.15</v>
          </cell>
          <cell r="J25" t="str">
            <v>n/a</v>
          </cell>
          <cell r="K25">
            <v>79</v>
          </cell>
          <cell r="L25">
            <v>47719000</v>
          </cell>
          <cell r="M25">
            <v>47719000</v>
          </cell>
          <cell r="N25">
            <v>1403500</v>
          </cell>
          <cell r="O25">
            <v>0.17499999999999999</v>
          </cell>
          <cell r="P25">
            <v>19.739999999999998</v>
          </cell>
          <cell r="Q25">
            <v>0.86119554204660598</v>
          </cell>
          <cell r="R25">
            <v>-0.13880445795339402</v>
          </cell>
        </row>
        <row r="26">
          <cell r="A26" t="str">
            <v>NGE</v>
          </cell>
          <cell r="B26" t="str">
            <v>NGE Capital Limited</v>
          </cell>
          <cell r="C26" t="str">
            <v>Equity - Australia</v>
          </cell>
          <cell r="D26" t="str">
            <v>MSCI World</v>
          </cell>
          <cell r="E26" t="str">
            <v>NGE</v>
          </cell>
          <cell r="F26" t="str">
            <v>n/a</v>
          </cell>
          <cell r="G26">
            <v>39444</v>
          </cell>
          <cell r="H26">
            <v>25006860.240000002</v>
          </cell>
          <cell r="I26">
            <v>181558.96500000003</v>
          </cell>
          <cell r="J26" t="str">
            <v>n/a</v>
          </cell>
          <cell r="K26">
            <v>97</v>
          </cell>
          <cell r="L26">
            <v>25836669.119999997</v>
          </cell>
          <cell r="M26">
            <v>25836669.119999997</v>
          </cell>
          <cell r="N26">
            <v>-829808.87999999523</v>
          </cell>
          <cell r="O26">
            <v>0.67</v>
          </cell>
          <cell r="P26">
            <v>80</v>
          </cell>
          <cell r="Q26">
            <v>0.86250000000000004</v>
          </cell>
          <cell r="R26">
            <v>-0.13749999999999996</v>
          </cell>
        </row>
        <row r="27">
          <cell r="A27" t="str">
            <v>WMK</v>
          </cell>
          <cell r="B27" t="str">
            <v>Watermark Market Neutral Fund Limited</v>
          </cell>
          <cell r="C27" t="str">
            <v>Equity - Australia</v>
          </cell>
          <cell r="D27">
            <v>0</v>
          </cell>
          <cell r="E27" t="str">
            <v>WMK</v>
          </cell>
          <cell r="F27">
            <v>1</v>
          </cell>
          <cell r="G27">
            <v>41473</v>
          </cell>
          <cell r="H27">
            <v>70066005.600000009</v>
          </cell>
          <cell r="I27">
            <v>2515274.98</v>
          </cell>
          <cell r="J27" t="str">
            <v>Yes</v>
          </cell>
          <cell r="K27">
            <v>299</v>
          </cell>
          <cell r="L27">
            <v>72693480.810000002</v>
          </cell>
          <cell r="M27">
            <v>72693480.810000002</v>
          </cell>
          <cell r="N27">
            <v>-2627475.2099999934</v>
          </cell>
          <cell r="O27">
            <v>0.8</v>
          </cell>
          <cell r="P27">
            <v>96</v>
          </cell>
          <cell r="Q27">
            <v>0.86458333333333337</v>
          </cell>
          <cell r="R27">
            <v>-0.13541666666666663</v>
          </cell>
        </row>
        <row r="28">
          <cell r="A28" t="str">
            <v>CIN</v>
          </cell>
          <cell r="B28" t="str">
            <v>Carlton Investments Limited</v>
          </cell>
          <cell r="C28" t="str">
            <v>Equity - Australia</v>
          </cell>
          <cell r="D28">
            <v>0</v>
          </cell>
          <cell r="E28" t="str">
            <v>CIN</v>
          </cell>
          <cell r="F28">
            <v>0.1</v>
          </cell>
          <cell r="G28">
            <v>25749</v>
          </cell>
          <cell r="H28">
            <v>875782249</v>
          </cell>
          <cell r="I28">
            <v>1411078.6</v>
          </cell>
          <cell r="J28" t="str">
            <v>No</v>
          </cell>
          <cell r="K28">
            <v>136</v>
          </cell>
          <cell r="L28">
            <v>857779470</v>
          </cell>
          <cell r="M28">
            <v>857779470</v>
          </cell>
          <cell r="N28">
            <v>18002779</v>
          </cell>
          <cell r="O28">
            <v>33.08</v>
          </cell>
          <cell r="P28">
            <v>3744</v>
          </cell>
          <cell r="Q28">
            <v>0.86538461538461542</v>
          </cell>
          <cell r="R28">
            <v>-0.13461538461538458</v>
          </cell>
        </row>
        <row r="29">
          <cell r="A29" t="str">
            <v>AYK</v>
          </cell>
          <cell r="B29" t="str">
            <v>Australian Masters Yield Fund No 4 Limited</v>
          </cell>
          <cell r="C29" t="str">
            <v>Fixed Income - Australia</v>
          </cell>
          <cell r="D29">
            <v>0</v>
          </cell>
          <cell r="E29" t="str">
            <v>AYK</v>
          </cell>
          <cell r="F29" t="str">
            <v>n/a</v>
          </cell>
          <cell r="G29">
            <v>41578</v>
          </cell>
          <cell r="H29">
            <v>20814226.399999999</v>
          </cell>
          <cell r="I29">
            <v>117630.85000000002</v>
          </cell>
          <cell r="J29" t="str">
            <v>Yes</v>
          </cell>
          <cell r="K29">
            <v>22</v>
          </cell>
          <cell r="L29">
            <v>18922024</v>
          </cell>
          <cell r="M29">
            <v>18922024</v>
          </cell>
          <cell r="N29">
            <v>1892202.3999999985</v>
          </cell>
          <cell r="O29">
            <v>20.9</v>
          </cell>
          <cell r="P29">
            <v>2306</v>
          </cell>
          <cell r="Q29">
            <v>0.86730268863833482</v>
          </cell>
          <cell r="R29">
            <v>-0.13269731136166518</v>
          </cell>
        </row>
        <row r="30">
          <cell r="A30" t="str">
            <v>8EC</v>
          </cell>
          <cell r="B30" t="str">
            <v>8IP Emerging Companies Limited</v>
          </cell>
          <cell r="C30" t="str">
            <v>Equity - Australia</v>
          </cell>
          <cell r="D30" t="str">
            <v>XJOAI</v>
          </cell>
          <cell r="E30" t="str">
            <v>8EC</v>
          </cell>
          <cell r="F30" t="str">
            <v>n/a</v>
          </cell>
          <cell r="G30">
            <v>42339</v>
          </cell>
          <cell r="H30">
            <v>38146840.440000005</v>
          </cell>
          <cell r="I30">
            <v>611729.2699999999</v>
          </cell>
          <cell r="J30" t="str">
            <v>n/a</v>
          </cell>
          <cell r="K30">
            <v>81</v>
          </cell>
          <cell r="L30">
            <v>36916297.200000003</v>
          </cell>
          <cell r="M30">
            <v>36916297.200000003</v>
          </cell>
          <cell r="N30">
            <v>1230543.2400000021</v>
          </cell>
          <cell r="O30">
            <v>0.93</v>
          </cell>
          <cell r="P30">
            <v>102.95</v>
          </cell>
          <cell r="Q30">
            <v>0.86935405536668287</v>
          </cell>
          <cell r="R30">
            <v>-0.13064594463331713</v>
          </cell>
        </row>
        <row r="31">
          <cell r="A31" t="str">
            <v>RYD</v>
          </cell>
          <cell r="B31" t="str">
            <v>Ryder Capital Limited</v>
          </cell>
          <cell r="C31" t="str">
            <v>Equity - Australia</v>
          </cell>
          <cell r="D31" t="str">
            <v>-</v>
          </cell>
          <cell r="E31" t="str">
            <v>RYD</v>
          </cell>
          <cell r="F31">
            <v>1.25</v>
          </cell>
          <cell r="G31">
            <v>42275</v>
          </cell>
          <cell r="H31">
            <v>48965485</v>
          </cell>
          <cell r="I31">
            <v>430821.76499999996</v>
          </cell>
          <cell r="J31" t="str">
            <v>Yes</v>
          </cell>
          <cell r="K31">
            <v>40</v>
          </cell>
          <cell r="L31">
            <v>46196107.759999998</v>
          </cell>
          <cell r="M31">
            <v>46196107.759999998</v>
          </cell>
          <cell r="N31">
            <v>2769377.2400000021</v>
          </cell>
          <cell r="O31">
            <v>1.25</v>
          </cell>
          <cell r="P31">
            <v>144.16999999999999</v>
          </cell>
          <cell r="Q31">
            <v>0.87396823194839435</v>
          </cell>
          <cell r="R31">
            <v>-0.12603176805160565</v>
          </cell>
        </row>
        <row r="32">
          <cell r="A32" t="str">
            <v>WIC</v>
          </cell>
          <cell r="B32" t="str">
            <v>Westoz Investment Company Limited</v>
          </cell>
          <cell r="C32" t="str">
            <v>Equity - Australia</v>
          </cell>
          <cell r="D32" t="str">
            <v>XJOAI</v>
          </cell>
          <cell r="E32" t="str">
            <v>WIC</v>
          </cell>
          <cell r="F32">
            <v>1.28</v>
          </cell>
          <cell r="G32">
            <v>40072</v>
          </cell>
          <cell r="H32">
            <v>152382722.30000001</v>
          </cell>
          <cell r="I32">
            <v>1274850.2875000001</v>
          </cell>
          <cell r="J32" t="str">
            <v>Yes</v>
          </cell>
          <cell r="K32">
            <v>219</v>
          </cell>
          <cell r="L32">
            <v>151619504.03999999</v>
          </cell>
          <cell r="M32">
            <v>151619504.03999999</v>
          </cell>
          <cell r="N32">
            <v>763218.26000002027</v>
          </cell>
          <cell r="O32">
            <v>1.165</v>
          </cell>
          <cell r="P32">
            <v>130.4</v>
          </cell>
          <cell r="Q32">
            <v>0.87806748466257667</v>
          </cell>
          <cell r="R32">
            <v>-0.12193251533742333</v>
          </cell>
        </row>
        <row r="33">
          <cell r="A33" t="str">
            <v>CBC</v>
          </cell>
          <cell r="B33" t="str">
            <v>CBG Capital Limited</v>
          </cell>
          <cell r="C33" t="str">
            <v>Equity - Australia</v>
          </cell>
          <cell r="D33" t="str">
            <v>XKOAI</v>
          </cell>
          <cell r="E33" t="str">
            <v>CBC</v>
          </cell>
          <cell r="F33">
            <v>1</v>
          </cell>
          <cell r="G33">
            <v>41992</v>
          </cell>
          <cell r="H33">
            <v>23246007.574999999</v>
          </cell>
          <cell r="I33">
            <v>245968.41999999998</v>
          </cell>
          <cell r="J33" t="str">
            <v>Yes</v>
          </cell>
          <cell r="K33">
            <v>222</v>
          </cell>
          <cell r="L33">
            <v>23120353.48</v>
          </cell>
          <cell r="M33">
            <v>23120353.48</v>
          </cell>
          <cell r="N33">
            <v>125654.09499999881</v>
          </cell>
          <cell r="O33">
            <v>0.92500000000000004</v>
          </cell>
          <cell r="P33">
            <v>103.66</v>
          </cell>
          <cell r="Q33">
            <v>0.88269342079876523</v>
          </cell>
          <cell r="R33">
            <v>-0.11730657920123477</v>
          </cell>
        </row>
        <row r="34">
          <cell r="A34" t="str">
            <v>EAI</v>
          </cell>
          <cell r="B34" t="str">
            <v>Ellerston Asian Investments Limited</v>
          </cell>
          <cell r="C34" t="str">
            <v>Equity - Global</v>
          </cell>
          <cell r="E34" t="str">
            <v>EAI</v>
          </cell>
          <cell r="F34">
            <v>0.95</v>
          </cell>
          <cell r="G34">
            <v>42262</v>
          </cell>
          <cell r="H34">
            <v>116598770.97499999</v>
          </cell>
          <cell r="I34">
            <v>3258547.4349999996</v>
          </cell>
          <cell r="J34" t="str">
            <v>Yes</v>
          </cell>
          <cell r="K34">
            <v>411</v>
          </cell>
          <cell r="L34">
            <v>118423071</v>
          </cell>
          <cell r="M34">
            <v>118423071</v>
          </cell>
          <cell r="N34">
            <v>-1824300.025000006</v>
          </cell>
          <cell r="O34">
            <v>1.075</v>
          </cell>
          <cell r="P34">
            <v>124.47</v>
          </cell>
          <cell r="Q34">
            <v>0.88374708765164312</v>
          </cell>
          <cell r="R34">
            <v>-0.11625291234835688</v>
          </cell>
        </row>
        <row r="35">
          <cell r="A35" t="str">
            <v>IPE</v>
          </cell>
          <cell r="B35" t="str">
            <v>IPE Limited</v>
          </cell>
          <cell r="C35" t="str">
            <v>Equity - Australia</v>
          </cell>
          <cell r="D35">
            <v>0</v>
          </cell>
          <cell r="E35" t="str">
            <v>IPE</v>
          </cell>
          <cell r="F35">
            <v>1.5</v>
          </cell>
          <cell r="G35">
            <v>38650</v>
          </cell>
          <cell r="H35">
            <v>10308799.524</v>
          </cell>
          <cell r="I35">
            <v>737083.91099999996</v>
          </cell>
          <cell r="J35" t="str">
            <v>Yes</v>
          </cell>
          <cell r="K35">
            <v>140</v>
          </cell>
          <cell r="L35">
            <v>8545452.2369999997</v>
          </cell>
          <cell r="M35">
            <v>8545452.2369999997</v>
          </cell>
          <cell r="N35">
            <v>1763347.2870000005</v>
          </cell>
          <cell r="O35">
            <v>7.5999999999999998E-2</v>
          </cell>
          <cell r="P35">
            <v>6.9</v>
          </cell>
          <cell r="Q35">
            <v>0.88405797101449268</v>
          </cell>
          <cell r="R35">
            <v>-0.11594202898550732</v>
          </cell>
        </row>
        <row r="36">
          <cell r="A36" t="str">
            <v>MEC</v>
          </cell>
          <cell r="B36" t="str">
            <v>Morphic Ethical Equities Fund Limited</v>
          </cell>
          <cell r="C36" t="str">
            <v>Equity - Global</v>
          </cell>
          <cell r="D36">
            <v>0</v>
          </cell>
          <cell r="E36" t="str">
            <v>MEC</v>
          </cell>
          <cell r="F36">
            <v>1.25</v>
          </cell>
          <cell r="G36">
            <v>42858</v>
          </cell>
          <cell r="H36">
            <v>47070999.944999993</v>
          </cell>
          <cell r="I36">
            <v>1596926.9000000004</v>
          </cell>
          <cell r="J36" t="str">
            <v>Yes</v>
          </cell>
          <cell r="K36">
            <v>236</v>
          </cell>
          <cell r="L36">
            <v>46843603.810000002</v>
          </cell>
          <cell r="M36">
            <v>46843603.810000002</v>
          </cell>
          <cell r="N36">
            <v>227396.13499999046</v>
          </cell>
          <cell r="O36">
            <v>1.0349999999999999</v>
          </cell>
          <cell r="P36">
            <v>116.78999999999999</v>
          </cell>
          <cell r="Q36">
            <v>0.88620601078859484</v>
          </cell>
          <cell r="R36">
            <v>-0.11379398921140516</v>
          </cell>
        </row>
        <row r="37">
          <cell r="A37" t="str">
            <v>BEL</v>
          </cell>
          <cell r="B37" t="str">
            <v>Bentley Capital Limited</v>
          </cell>
          <cell r="C37" t="str">
            <v>Equity - Australia</v>
          </cell>
          <cell r="D37" t="str">
            <v>XJOAI</v>
          </cell>
          <cell r="E37" t="str">
            <v>BEL</v>
          </cell>
          <cell r="F37">
            <v>1</v>
          </cell>
          <cell r="G37">
            <v>31723</v>
          </cell>
          <cell r="H37">
            <v>7232152.21</v>
          </cell>
          <cell r="I37">
            <v>118956.409</v>
          </cell>
          <cell r="J37" t="str">
            <v>Yes</v>
          </cell>
          <cell r="K37">
            <v>42</v>
          </cell>
          <cell r="L37">
            <v>8754710.5700000003</v>
          </cell>
          <cell r="M37">
            <v>8754710.5700000003</v>
          </cell>
          <cell r="N37">
            <v>-1522558.3600000003</v>
          </cell>
          <cell r="O37">
            <v>9.5000000000000001E-2</v>
          </cell>
          <cell r="P37">
            <v>12.91</v>
          </cell>
          <cell r="Q37">
            <v>0.89078233927188222</v>
          </cell>
          <cell r="R37">
            <v>-0.10921766072811778</v>
          </cell>
        </row>
        <row r="38">
          <cell r="A38" t="str">
            <v>NAC</v>
          </cell>
          <cell r="B38" t="str">
            <v>NAOS Absolute Opportunities Company Limited</v>
          </cell>
          <cell r="C38" t="str">
            <v>Equity - Australia</v>
          </cell>
          <cell r="D38">
            <v>0</v>
          </cell>
          <cell r="E38" t="str">
            <v>NAC</v>
          </cell>
          <cell r="F38">
            <v>1.75</v>
          </cell>
          <cell r="G38">
            <v>41955</v>
          </cell>
          <cell r="H38">
            <v>50172728.994999997</v>
          </cell>
          <cell r="I38">
            <v>1008549.63</v>
          </cell>
          <cell r="J38" t="str">
            <v>Yes</v>
          </cell>
          <cell r="K38">
            <v>131</v>
          </cell>
          <cell r="L38">
            <v>52011520.109999999</v>
          </cell>
          <cell r="M38">
            <v>52011520.109999999</v>
          </cell>
          <cell r="N38">
            <v>-1838791.1150000021</v>
          </cell>
          <cell r="O38">
            <v>0.95499999999999996</v>
          </cell>
          <cell r="P38">
            <v>111.00000000000001</v>
          </cell>
          <cell r="Q38">
            <v>0.89189189189189177</v>
          </cell>
          <cell r="R38">
            <v>-0.10810810810810823</v>
          </cell>
        </row>
        <row r="39">
          <cell r="A39" t="str">
            <v>CAM</v>
          </cell>
          <cell r="B39" t="str">
            <v>Clime Capital Limited</v>
          </cell>
          <cell r="C39" t="str">
            <v>Equity - Australia</v>
          </cell>
          <cell r="D39">
            <v>0</v>
          </cell>
          <cell r="E39" t="str">
            <v>CAM</v>
          </cell>
          <cell r="F39" t="str">
            <v>n/a</v>
          </cell>
          <cell r="G39">
            <v>38020</v>
          </cell>
          <cell r="H39">
            <v>77667127.754999995</v>
          </cell>
          <cell r="I39">
            <v>1463956.1274999999</v>
          </cell>
          <cell r="J39" t="str">
            <v>n/a</v>
          </cell>
          <cell r="K39">
            <v>251</v>
          </cell>
          <cell r="L39">
            <v>76061481.015000001</v>
          </cell>
          <cell r="M39">
            <v>76061481.015000001</v>
          </cell>
          <cell r="N39">
            <v>1605646.7399999946</v>
          </cell>
          <cell r="O39">
            <v>0.86499999999999999</v>
          </cell>
          <cell r="P39">
            <v>94</v>
          </cell>
          <cell r="Q39">
            <v>0.89893617021276595</v>
          </cell>
          <cell r="R39">
            <v>-0.10106382978723405</v>
          </cell>
        </row>
        <row r="40">
          <cell r="A40" t="str">
            <v>WDE</v>
          </cell>
          <cell r="B40" t="str">
            <v>Wealth Defender Equities Limited</v>
          </cell>
          <cell r="C40" t="str">
            <v>Equity - Australia</v>
          </cell>
          <cell r="D40" t="str">
            <v>MSCI World</v>
          </cell>
          <cell r="E40" t="str">
            <v>WDE</v>
          </cell>
          <cell r="F40">
            <v>0.98</v>
          </cell>
          <cell r="G40">
            <v>42145</v>
          </cell>
          <cell r="H40">
            <v>107595180.25</v>
          </cell>
          <cell r="I40">
            <v>2357241.56</v>
          </cell>
          <cell r="J40" t="str">
            <v>Yes</v>
          </cell>
          <cell r="K40">
            <v>229</v>
          </cell>
          <cell r="L40">
            <v>106467947.88</v>
          </cell>
          <cell r="M40">
            <v>106467947.88</v>
          </cell>
          <cell r="N40">
            <v>1127232.3700000048</v>
          </cell>
          <cell r="O40">
            <v>0.85</v>
          </cell>
          <cell r="P40">
            <v>92.97999999999999</v>
          </cell>
          <cell r="Q40">
            <v>0.9034200903420091</v>
          </cell>
          <cell r="R40">
            <v>-9.6579909657990903E-2</v>
          </cell>
        </row>
        <row r="41">
          <cell r="A41" t="str">
            <v>AYZ</v>
          </cell>
          <cell r="B41" t="str">
            <v>Australian Masters Yield Fund No 5 Limited</v>
          </cell>
          <cell r="C41" t="str">
            <v>Fixed Income - Australia</v>
          </cell>
          <cell r="D41" t="str">
            <v>UBS Warbug Bank Bill Index</v>
          </cell>
          <cell r="E41" t="str">
            <v>AYZ</v>
          </cell>
          <cell r="F41">
            <v>0.65</v>
          </cell>
          <cell r="G41">
            <v>42221</v>
          </cell>
          <cell r="H41">
            <v>57629337</v>
          </cell>
          <cell r="I41">
            <v>286706.14</v>
          </cell>
          <cell r="J41" t="str">
            <v>No</v>
          </cell>
          <cell r="K41">
            <v>21</v>
          </cell>
          <cell r="L41">
            <v>51219337.059999995</v>
          </cell>
          <cell r="M41">
            <v>51219337.059999995</v>
          </cell>
          <cell r="N41">
            <v>6409999.9400000051</v>
          </cell>
          <cell r="O41">
            <v>57</v>
          </cell>
          <cell r="P41">
            <v>6021</v>
          </cell>
          <cell r="Q41">
            <v>0.90516525494103972</v>
          </cell>
          <cell r="R41">
            <v>-9.4834745058960279E-2</v>
          </cell>
        </row>
        <row r="42">
          <cell r="A42" t="str">
            <v>TGG</v>
          </cell>
          <cell r="B42" t="str">
            <v>Templeton Global Growth Fund Limited</v>
          </cell>
          <cell r="C42" t="str">
            <v>Equity - Global</v>
          </cell>
          <cell r="D42" t="str">
            <v>MSCI World</v>
          </cell>
          <cell r="E42" t="str">
            <v>TGG</v>
          </cell>
          <cell r="F42">
            <v>1</v>
          </cell>
          <cell r="G42">
            <v>31925</v>
          </cell>
          <cell r="H42">
            <v>317825054.62</v>
          </cell>
          <cell r="I42">
            <v>6269925.3850000007</v>
          </cell>
          <cell r="J42" t="str">
            <v>No</v>
          </cell>
          <cell r="K42">
            <v>859</v>
          </cell>
          <cell r="L42">
            <v>311110440.78999996</v>
          </cell>
          <cell r="M42">
            <v>311110440.78999996</v>
          </cell>
          <cell r="N42">
            <v>6714613.8300000429</v>
          </cell>
          <cell r="O42">
            <v>1.42</v>
          </cell>
          <cell r="P42">
            <v>154</v>
          </cell>
          <cell r="Q42">
            <v>0.9058441558441559</v>
          </cell>
          <cell r="R42">
            <v>-9.4155844155844104E-2</v>
          </cell>
        </row>
        <row r="43">
          <cell r="A43" t="str">
            <v>AQF</v>
          </cell>
          <cell r="B43" t="str">
            <v>Australian Governance Masters Index Fund Limited</v>
          </cell>
          <cell r="C43" t="str">
            <v>Equity - Australia</v>
          </cell>
          <cell r="D43">
            <v>0</v>
          </cell>
          <cell r="E43" t="str">
            <v>AQF</v>
          </cell>
          <cell r="F43">
            <v>0.49</v>
          </cell>
          <cell r="G43">
            <v>40219</v>
          </cell>
          <cell r="H43">
            <v>41743734.550000004</v>
          </cell>
          <cell r="I43">
            <v>258712.06000000003</v>
          </cell>
          <cell r="J43" t="str">
            <v>No</v>
          </cell>
          <cell r="K43">
            <v>43</v>
          </cell>
          <cell r="L43">
            <v>44647317</v>
          </cell>
          <cell r="M43">
            <v>44647317</v>
          </cell>
          <cell r="N43">
            <v>-2903582.4499999955</v>
          </cell>
          <cell r="O43">
            <v>1.7150000000000001</v>
          </cell>
          <cell r="P43">
            <v>198</v>
          </cell>
          <cell r="Q43">
            <v>0.90909090909090906</v>
          </cell>
          <cell r="R43">
            <v>-9.0909090909090939E-2</v>
          </cell>
        </row>
        <row r="44">
          <cell r="A44" t="str">
            <v>CLF</v>
          </cell>
          <cell r="B44" t="str">
            <v>Concentrated Leaders Fund</v>
          </cell>
          <cell r="C44" t="str">
            <v>Equity - Australia</v>
          </cell>
          <cell r="D44">
            <v>0</v>
          </cell>
          <cell r="E44" t="str">
            <v>CLF</v>
          </cell>
          <cell r="F44">
            <v>2.4</v>
          </cell>
          <cell r="G44">
            <v>35667</v>
          </cell>
          <cell r="H44">
            <v>73360922.895000011</v>
          </cell>
          <cell r="I44">
            <v>379277.22499999998</v>
          </cell>
          <cell r="J44" t="str">
            <v>No</v>
          </cell>
          <cell r="K44">
            <v>63</v>
          </cell>
          <cell r="L44">
            <v>73360922.895000011</v>
          </cell>
          <cell r="M44">
            <v>73360922.895000011</v>
          </cell>
          <cell r="N44">
            <v>0</v>
          </cell>
          <cell r="O44">
            <v>1.2350000000000001</v>
          </cell>
          <cell r="P44">
            <v>135</v>
          </cell>
          <cell r="Q44">
            <v>0.91111111111111109</v>
          </cell>
          <cell r="R44">
            <v>-8.8888888888888906E-2</v>
          </cell>
        </row>
        <row r="45">
          <cell r="A45" t="str">
            <v>AIQ</v>
          </cell>
          <cell r="B45" t="str">
            <v>Alternative Investment Trust</v>
          </cell>
          <cell r="C45" t="str">
            <v>Equity - Global</v>
          </cell>
          <cell r="D45" t="str">
            <v>-</v>
          </cell>
          <cell r="E45" t="str">
            <v>AIQ</v>
          </cell>
          <cell r="F45">
            <v>0.75</v>
          </cell>
          <cell r="G45">
            <v>38931</v>
          </cell>
          <cell r="H45">
            <v>10681628.193999998</v>
          </cell>
          <cell r="I45">
            <v>4995.9719999999998</v>
          </cell>
          <cell r="J45" t="str">
            <v>n/a</v>
          </cell>
          <cell r="K45">
            <v>15</v>
          </cell>
          <cell r="L45">
            <v>7999409.7960000001</v>
          </cell>
          <cell r="M45">
            <v>7999409.7960000001</v>
          </cell>
          <cell r="N45">
            <v>2682218.3979999982</v>
          </cell>
          <cell r="O45">
            <v>8.5999999999999993E-2</v>
          </cell>
          <cell r="P45">
            <v>9.17</v>
          </cell>
          <cell r="Q45">
            <v>0.91603053435114512</v>
          </cell>
          <cell r="R45">
            <v>-8.396946564885488E-2</v>
          </cell>
        </row>
        <row r="46">
          <cell r="A46" t="str">
            <v>SEC</v>
          </cell>
          <cell r="B46" t="str">
            <v>Spheria Emerging Companies Limited</v>
          </cell>
          <cell r="C46" t="str">
            <v>Equity - Global</v>
          </cell>
          <cell r="D46">
            <v>0</v>
          </cell>
          <cell r="E46" t="str">
            <v>SEC</v>
          </cell>
          <cell r="F46">
            <v>1</v>
          </cell>
          <cell r="G46">
            <v>43074</v>
          </cell>
          <cell r="H46">
            <v>129026526.97</v>
          </cell>
          <cell r="I46">
            <v>3283142.3450000002</v>
          </cell>
          <cell r="J46" t="str">
            <v>Yes</v>
          </cell>
          <cell r="K46">
            <v>546</v>
          </cell>
          <cell r="L46">
            <v>128694839.23999999</v>
          </cell>
          <cell r="M46">
            <v>128694839.23999999</v>
          </cell>
          <cell r="N46">
            <v>331687.73000000417</v>
          </cell>
          <cell r="O46">
            <v>1.9450000000000001</v>
          </cell>
          <cell r="P46">
            <v>209.50000000000003</v>
          </cell>
          <cell r="Q46">
            <v>0.9164677804295942</v>
          </cell>
          <cell r="R46">
            <v>-8.3532219570405797E-2</v>
          </cell>
        </row>
        <row r="47">
          <cell r="A47" t="str">
            <v>PGF</v>
          </cell>
          <cell r="B47" t="str">
            <v>PM Capital Global Opportunities Fund Limited</v>
          </cell>
          <cell r="C47" t="str">
            <v>Equity - Global</v>
          </cell>
          <cell r="D47" t="str">
            <v>-</v>
          </cell>
          <cell r="E47" t="str">
            <v>PGF</v>
          </cell>
          <cell r="F47">
            <v>1</v>
          </cell>
          <cell r="G47">
            <v>41620</v>
          </cell>
          <cell r="H47">
            <v>466710269.41000003</v>
          </cell>
          <cell r="I47">
            <v>5630585.7850000001</v>
          </cell>
          <cell r="J47" t="str">
            <v>Yes</v>
          </cell>
          <cell r="K47">
            <v>888</v>
          </cell>
          <cell r="L47">
            <v>442146571.01999998</v>
          </cell>
          <cell r="M47">
            <v>442146571.01999998</v>
          </cell>
          <cell r="N47">
            <v>24563698.390000045</v>
          </cell>
          <cell r="O47">
            <v>1.33</v>
          </cell>
          <cell r="P47">
            <v>137.34</v>
          </cell>
          <cell r="Q47">
            <v>0.9174311926605504</v>
          </cell>
          <cell r="R47">
            <v>-8.2568807339449601E-2</v>
          </cell>
        </row>
        <row r="48">
          <cell r="A48" t="str">
            <v>D2O</v>
          </cell>
          <cell r="B48" t="str">
            <v>Duxton Water Limited</v>
          </cell>
          <cell r="C48" t="str">
            <v>Equity - Australia</v>
          </cell>
          <cell r="D48" t="str">
            <v>XJOAI</v>
          </cell>
          <cell r="E48" t="str">
            <v>D2O</v>
          </cell>
          <cell r="F48">
            <v>0.85</v>
          </cell>
          <cell r="G48">
            <v>42629</v>
          </cell>
          <cell r="H48">
            <v>106540252.56</v>
          </cell>
          <cell r="I48">
            <v>1283300.4850000001</v>
          </cell>
          <cell r="J48" t="str">
            <v>No</v>
          </cell>
          <cell r="K48">
            <v>290</v>
          </cell>
          <cell r="L48">
            <v>86379767.639999986</v>
          </cell>
          <cell r="M48">
            <v>86379767.639999986</v>
          </cell>
          <cell r="N48">
            <v>20160484.920000017</v>
          </cell>
          <cell r="O48">
            <v>1.19</v>
          </cell>
          <cell r="P48">
            <v>123</v>
          </cell>
          <cell r="Q48">
            <v>0.91869918699186981</v>
          </cell>
          <cell r="R48">
            <v>-8.1300813008130191E-2</v>
          </cell>
        </row>
        <row r="49">
          <cell r="A49" t="str">
            <v>CYA</v>
          </cell>
          <cell r="B49" t="str">
            <v>Century Australia Investments Limited</v>
          </cell>
          <cell r="C49" t="str">
            <v>Equity - Australia</v>
          </cell>
          <cell r="D49" t="str">
            <v>XKOAI</v>
          </cell>
          <cell r="E49" t="str">
            <v>CYA</v>
          </cell>
          <cell r="F49">
            <v>1.08</v>
          </cell>
          <cell r="G49">
            <v>38085</v>
          </cell>
          <cell r="H49">
            <v>90498038.399999991</v>
          </cell>
          <cell r="I49">
            <v>1532148.125</v>
          </cell>
          <cell r="J49" t="str">
            <v>No</v>
          </cell>
          <cell r="K49">
            <v>191</v>
          </cell>
          <cell r="L49">
            <v>88612662.599999994</v>
          </cell>
          <cell r="M49">
            <v>88612662.599999994</v>
          </cell>
          <cell r="N49">
            <v>1885375.799999997</v>
          </cell>
          <cell r="O49">
            <v>0.96</v>
          </cell>
          <cell r="P49">
            <v>101</v>
          </cell>
          <cell r="Q49">
            <v>0.92574257425742579</v>
          </cell>
          <cell r="R49">
            <v>-7.4257425742574212E-2</v>
          </cell>
        </row>
        <row r="50">
          <cell r="A50" t="str">
            <v>MFF</v>
          </cell>
          <cell r="B50" t="str">
            <v>MFF Capital Investments Limited</v>
          </cell>
          <cell r="C50" t="str">
            <v>Equity - Global</v>
          </cell>
          <cell r="D50">
            <v>0</v>
          </cell>
          <cell r="E50" t="str">
            <v>MFF</v>
          </cell>
          <cell r="F50">
            <v>1.25</v>
          </cell>
          <cell r="G50">
            <v>39070</v>
          </cell>
          <cell r="H50">
            <v>1444462096.8</v>
          </cell>
          <cell r="I50">
            <v>15015008.785</v>
          </cell>
          <cell r="J50" t="str">
            <v>Yes</v>
          </cell>
          <cell r="K50">
            <v>1747</v>
          </cell>
          <cell r="L50">
            <v>1347082629.6000001</v>
          </cell>
          <cell r="M50">
            <v>1347082629.6000001</v>
          </cell>
          <cell r="N50">
            <v>97379467.199999809</v>
          </cell>
          <cell r="O50">
            <v>2.67</v>
          </cell>
          <cell r="P50">
            <v>267.60000000000002</v>
          </cell>
          <cell r="Q50">
            <v>0.92675635276532131</v>
          </cell>
          <cell r="R50">
            <v>-7.3243647234678688E-2</v>
          </cell>
        </row>
        <row r="51">
          <cell r="A51" t="str">
            <v>PIA</v>
          </cell>
          <cell r="B51" t="str">
            <v>Pengana International Equities Limited</v>
          </cell>
          <cell r="C51" t="str">
            <v>Equity - Global</v>
          </cell>
          <cell r="D51">
            <v>0</v>
          </cell>
          <cell r="E51" t="str">
            <v>PIA</v>
          </cell>
          <cell r="F51">
            <v>1.77</v>
          </cell>
          <cell r="G51">
            <v>38065</v>
          </cell>
          <cell r="H51">
            <v>287026323.75999999</v>
          </cell>
          <cell r="I51">
            <v>4000630.4799999991</v>
          </cell>
          <cell r="J51" t="str">
            <v>Yes</v>
          </cell>
          <cell r="K51">
            <v>486</v>
          </cell>
          <cell r="L51">
            <v>279558142.17999995</v>
          </cell>
          <cell r="M51">
            <v>279558142.17999995</v>
          </cell>
          <cell r="N51">
            <v>7468181.5800000429</v>
          </cell>
          <cell r="O51">
            <v>1.1599999999999999</v>
          </cell>
          <cell r="P51">
            <v>121.78</v>
          </cell>
          <cell r="Q51">
            <v>0.92790277549679734</v>
          </cell>
          <cell r="R51">
            <v>-7.2097224503202662E-2</v>
          </cell>
        </row>
        <row r="52">
          <cell r="A52" t="str">
            <v>AEG</v>
          </cell>
          <cell r="B52" t="str">
            <v>Absolute Equity Performance Fund Limited</v>
          </cell>
          <cell r="C52" t="str">
            <v>Equity - Australia</v>
          </cell>
          <cell r="D52">
            <v>0</v>
          </cell>
          <cell r="E52" t="str">
            <v>AEG</v>
          </cell>
          <cell r="F52">
            <v>1.5</v>
          </cell>
          <cell r="G52">
            <v>42354</v>
          </cell>
          <cell r="H52">
            <v>118007784.94</v>
          </cell>
          <cell r="I52">
            <v>5479570.9050000003</v>
          </cell>
          <cell r="J52" t="str">
            <v>No</v>
          </cell>
          <cell r="K52">
            <v>482</v>
          </cell>
          <cell r="L52">
            <v>110917188.42</v>
          </cell>
          <cell r="M52">
            <v>110917188.42</v>
          </cell>
          <cell r="N52">
            <v>7090596.5199999958</v>
          </cell>
          <cell r="O52">
            <v>1.165</v>
          </cell>
          <cell r="P52">
            <v>118.5</v>
          </cell>
          <cell r="Q52">
            <v>0.92827004219409293</v>
          </cell>
          <cell r="R52">
            <v>-7.1729957805907074E-2</v>
          </cell>
        </row>
        <row r="53">
          <cell r="A53" t="str">
            <v>URB</v>
          </cell>
          <cell r="B53" t="str">
            <v>URB Investments Limited</v>
          </cell>
          <cell r="C53" t="str">
            <v>Equity - Australia</v>
          </cell>
          <cell r="D53" t="str">
            <v>-</v>
          </cell>
          <cell r="E53" t="str">
            <v>URB</v>
          </cell>
          <cell r="F53">
            <v>0.5</v>
          </cell>
          <cell r="G53">
            <v>42837</v>
          </cell>
          <cell r="H53">
            <v>65850014.700000003</v>
          </cell>
          <cell r="I53">
            <v>2497502.6524999999</v>
          </cell>
          <cell r="J53" t="str">
            <v>Yes</v>
          </cell>
          <cell r="K53">
            <v>376</v>
          </cell>
          <cell r="L53">
            <v>70971682.510000005</v>
          </cell>
          <cell r="M53">
            <v>70971682.510000005</v>
          </cell>
          <cell r="N53">
            <v>-5121667.8100000024</v>
          </cell>
          <cell r="O53">
            <v>0.9</v>
          </cell>
          <cell r="P53">
            <v>105</v>
          </cell>
          <cell r="Q53">
            <v>0.9285714285714286</v>
          </cell>
          <cell r="R53">
            <v>-7.1428571428571397E-2</v>
          </cell>
        </row>
        <row r="54">
          <cell r="A54" t="str">
            <v>AUI</v>
          </cell>
          <cell r="B54" t="str">
            <v>Australian United Investment Company Limited</v>
          </cell>
          <cell r="C54" t="str">
            <v>Equity - Australia</v>
          </cell>
          <cell r="D54" t="str">
            <v>XJOAI</v>
          </cell>
          <cell r="E54" t="str">
            <v>AUI</v>
          </cell>
          <cell r="F54">
            <v>0.13</v>
          </cell>
          <cell r="G54">
            <v>27030</v>
          </cell>
          <cell r="H54">
            <v>1072655974.1500001</v>
          </cell>
          <cell r="I54">
            <v>1969963.4999999998</v>
          </cell>
          <cell r="J54" t="str">
            <v>No</v>
          </cell>
          <cell r="K54">
            <v>231</v>
          </cell>
          <cell r="L54">
            <v>1042894421.11</v>
          </cell>
          <cell r="M54">
            <v>1042894421.11</v>
          </cell>
          <cell r="N54">
            <v>29761553.040000081</v>
          </cell>
          <cell r="O54">
            <v>8.65</v>
          </cell>
          <cell r="P54">
            <v>893</v>
          </cell>
          <cell r="Q54">
            <v>0.93057110862262038</v>
          </cell>
          <cell r="R54">
            <v>-6.942889137737962E-2</v>
          </cell>
        </row>
        <row r="55">
          <cell r="A55" t="str">
            <v>EGI</v>
          </cell>
          <cell r="B55" t="str">
            <v>Ellerston Global Investments Limited</v>
          </cell>
          <cell r="C55" t="str">
            <v>Equity - Global</v>
          </cell>
          <cell r="E55" t="str">
            <v>EGI</v>
          </cell>
          <cell r="F55">
            <v>0.75</v>
          </cell>
          <cell r="G55">
            <v>41932</v>
          </cell>
          <cell r="H55">
            <v>117289330.79000001</v>
          </cell>
          <cell r="I55">
            <v>2806428.1399999997</v>
          </cell>
          <cell r="J55" t="str">
            <v>Yes</v>
          </cell>
          <cell r="K55">
            <v>229</v>
          </cell>
          <cell r="L55">
            <v>115645087.83499999</v>
          </cell>
          <cell r="M55">
            <v>115645087.83499999</v>
          </cell>
          <cell r="N55">
            <v>1644242.9550000131</v>
          </cell>
          <cell r="O55">
            <v>1.07</v>
          </cell>
          <cell r="P55">
            <v>115.13</v>
          </cell>
          <cell r="Q55">
            <v>0.93372709111439245</v>
          </cell>
          <cell r="R55">
            <v>-6.6272908885607551E-2</v>
          </cell>
        </row>
        <row r="56">
          <cell r="A56" t="str">
            <v>AMH</v>
          </cell>
          <cell r="B56" t="str">
            <v>AMCIL Limited</v>
          </cell>
          <cell r="C56" t="str">
            <v>Equity - Australia</v>
          </cell>
          <cell r="D56" t="str">
            <v>XJOAI</v>
          </cell>
          <cell r="E56" t="str">
            <v>AMH</v>
          </cell>
          <cell r="F56">
            <v>0.77</v>
          </cell>
          <cell r="G56">
            <v>36566</v>
          </cell>
          <cell r="H56">
            <v>251039783.03999999</v>
          </cell>
          <cell r="I56">
            <v>2433558.9150000005</v>
          </cell>
          <cell r="J56" t="str">
            <v>No</v>
          </cell>
          <cell r="K56">
            <v>382</v>
          </cell>
          <cell r="L56">
            <v>240579792.08000001</v>
          </cell>
          <cell r="M56">
            <v>240579792.08000001</v>
          </cell>
          <cell r="N56">
            <v>10459990.959999979</v>
          </cell>
          <cell r="O56">
            <v>0.96</v>
          </cell>
          <cell r="P56">
            <v>99</v>
          </cell>
          <cell r="Q56">
            <v>0.93434343434343436</v>
          </cell>
          <cell r="R56">
            <v>-6.5656565656565635E-2</v>
          </cell>
        </row>
        <row r="57">
          <cell r="A57" t="str">
            <v>HHY</v>
          </cell>
          <cell r="B57" t="str">
            <v>HHY Fund</v>
          </cell>
          <cell r="C57" t="str">
            <v>Equity - Australia</v>
          </cell>
          <cell r="D57" t="str">
            <v>XKOAI</v>
          </cell>
          <cell r="E57" t="str">
            <v>HHY</v>
          </cell>
          <cell r="F57" t="str">
            <v>n/a</v>
          </cell>
          <cell r="G57">
            <v>38926</v>
          </cell>
          <cell r="H57">
            <v>5617085.6910000006</v>
          </cell>
          <cell r="I57">
            <v>17880.627</v>
          </cell>
          <cell r="J57" t="str">
            <v>n/a</v>
          </cell>
          <cell r="K57">
            <v>31</v>
          </cell>
          <cell r="L57">
            <v>7326633.5099999998</v>
          </cell>
          <cell r="M57">
            <v>7326633.5099999998</v>
          </cell>
          <cell r="N57">
            <v>-1709547.8189999992</v>
          </cell>
          <cell r="O57">
            <v>6.9000000000000006E-2</v>
          </cell>
          <cell r="P57">
            <v>8.5500000000000007</v>
          </cell>
          <cell r="Q57">
            <v>0.93567251461988299</v>
          </cell>
          <cell r="R57">
            <v>-6.4327485380117011E-2</v>
          </cell>
        </row>
        <row r="58">
          <cell r="A58" t="str">
            <v>DUI</v>
          </cell>
          <cell r="B58" t="str">
            <v>Diversified United Investment Limited</v>
          </cell>
          <cell r="C58" t="str">
            <v>Equity - Australia</v>
          </cell>
          <cell r="E58" t="str">
            <v>DUI</v>
          </cell>
          <cell r="F58">
            <v>0.17</v>
          </cell>
          <cell r="G58">
            <v>33591</v>
          </cell>
          <cell r="H58">
            <v>860350408.29999995</v>
          </cell>
          <cell r="I58">
            <v>5780951.0750000002</v>
          </cell>
          <cell r="J58" t="str">
            <v>No</v>
          </cell>
          <cell r="K58">
            <v>366</v>
          </cell>
          <cell r="L58">
            <v>845661498.8900001</v>
          </cell>
          <cell r="M58">
            <v>845661498.8900001</v>
          </cell>
          <cell r="N58">
            <v>14688909.409999847</v>
          </cell>
          <cell r="O58">
            <v>4.0999999999999996</v>
          </cell>
          <cell r="P58">
            <v>430.99999999999994</v>
          </cell>
          <cell r="Q58">
            <v>0.93735498839907205</v>
          </cell>
          <cell r="R58">
            <v>-6.2645011600927947E-2</v>
          </cell>
        </row>
        <row r="59">
          <cell r="A59" t="str">
            <v>QVE</v>
          </cell>
          <cell r="B59" t="str">
            <v>QV Equities Limited</v>
          </cell>
          <cell r="C59" t="str">
            <v>Equity - Australia</v>
          </cell>
          <cell r="D59" t="str">
            <v>MSCI World</v>
          </cell>
          <cell r="E59" t="str">
            <v>QVE</v>
          </cell>
          <cell r="F59" t="str">
            <v>n/a</v>
          </cell>
          <cell r="G59">
            <v>41873</v>
          </cell>
          <cell r="H59">
            <v>316867029.04999995</v>
          </cell>
          <cell r="I59">
            <v>5123057.7799999993</v>
          </cell>
          <cell r="J59" t="str">
            <v>No</v>
          </cell>
          <cell r="K59">
            <v>795</v>
          </cell>
          <cell r="L59">
            <v>309978615.375</v>
          </cell>
          <cell r="M59">
            <v>309978615.375</v>
          </cell>
          <cell r="N59">
            <v>6888413.6749999523</v>
          </cell>
          <cell r="O59">
            <v>1.1499999999999999</v>
          </cell>
          <cell r="P59">
            <v>120</v>
          </cell>
          <cell r="Q59">
            <v>0.9375</v>
          </cell>
          <cell r="R59">
            <v>-6.25E-2</v>
          </cell>
        </row>
        <row r="60">
          <cell r="A60" t="str">
            <v>IBC</v>
          </cell>
          <cell r="B60" t="str">
            <v>Ironbark Capital Limited</v>
          </cell>
          <cell r="C60" t="str">
            <v>Equity - Australia</v>
          </cell>
          <cell r="D60">
            <v>0</v>
          </cell>
          <cell r="E60" t="str">
            <v>IBC</v>
          </cell>
          <cell r="F60">
            <v>0.65</v>
          </cell>
          <cell r="G60">
            <v>31869</v>
          </cell>
          <cell r="H60">
            <v>67256738.989999995</v>
          </cell>
          <cell r="I60">
            <v>241002.84</v>
          </cell>
          <cell r="J60" t="str">
            <v>Yes</v>
          </cell>
          <cell r="K60">
            <v>35</v>
          </cell>
          <cell r="L60">
            <v>67256738.989999995</v>
          </cell>
          <cell r="M60">
            <v>67256738.989999995</v>
          </cell>
          <cell r="N60">
            <v>0</v>
          </cell>
          <cell r="O60">
            <v>0.49</v>
          </cell>
          <cell r="P60">
            <v>51.9</v>
          </cell>
          <cell r="Q60">
            <v>0.94412331406551064</v>
          </cell>
          <cell r="R60">
            <v>-5.5876685934489356E-2</v>
          </cell>
        </row>
        <row r="61">
          <cell r="A61" t="str">
            <v>BKI</v>
          </cell>
          <cell r="B61" t="str">
            <v>BKI Investment Company Limited</v>
          </cell>
          <cell r="C61" t="str">
            <v>Equity - Australia</v>
          </cell>
          <cell r="D61">
            <v>0</v>
          </cell>
          <cell r="E61" t="str">
            <v>BKI</v>
          </cell>
          <cell r="F61">
            <v>0.19</v>
          </cell>
          <cell r="G61">
            <v>37967</v>
          </cell>
          <cell r="H61">
            <v>1106099888.05</v>
          </cell>
          <cell r="I61">
            <v>13829179.457500003</v>
          </cell>
          <cell r="J61" t="str">
            <v>No</v>
          </cell>
          <cell r="K61">
            <v>1033</v>
          </cell>
          <cell r="L61">
            <v>939735260.32000005</v>
          </cell>
          <cell r="M61">
            <v>939735260.32000005</v>
          </cell>
          <cell r="N61">
            <v>166364627.7299999</v>
          </cell>
          <cell r="O61">
            <v>1.5249999999999999</v>
          </cell>
          <cell r="P61">
            <v>159</v>
          </cell>
          <cell r="Q61">
            <v>0.94654088050314467</v>
          </cell>
          <cell r="R61">
            <v>-5.3459119496855334E-2</v>
          </cell>
        </row>
        <row r="62">
          <cell r="A62" t="str">
            <v>APL</v>
          </cell>
          <cell r="B62" t="str">
            <v>Antipodes Global Investment Company Ltd</v>
          </cell>
          <cell r="C62" t="str">
            <v>Equity - Global</v>
          </cell>
          <cell r="D62" t="str">
            <v>XKOAI</v>
          </cell>
          <cell r="E62" t="str">
            <v>APL</v>
          </cell>
          <cell r="F62">
            <v>1.1274999999999999</v>
          </cell>
          <cell r="G62">
            <v>42661</v>
          </cell>
          <cell r="H62">
            <v>433361671.71999997</v>
          </cell>
          <cell r="I62">
            <v>12605153.855000002</v>
          </cell>
          <cell r="J62" t="str">
            <v>Yes</v>
          </cell>
          <cell r="K62">
            <v>1316</v>
          </cell>
          <cell r="L62">
            <v>425827951.09999996</v>
          </cell>
          <cell r="M62">
            <v>425827951.09999996</v>
          </cell>
          <cell r="N62">
            <v>7533720.6200000048</v>
          </cell>
          <cell r="O62">
            <v>1.18</v>
          </cell>
          <cell r="P62">
            <v>125.4</v>
          </cell>
          <cell r="Q62">
            <v>0.94896331738437001</v>
          </cell>
          <cell r="R62">
            <v>-5.1036682615629991E-2</v>
          </cell>
        </row>
        <row r="63">
          <cell r="A63" t="str">
            <v>PL8</v>
          </cell>
          <cell r="B63" t="str">
            <v>Plato Income Maximiser Limited</v>
          </cell>
          <cell r="C63" t="str">
            <v>Equity - Australia</v>
          </cell>
          <cell r="D63">
            <v>0</v>
          </cell>
          <cell r="E63" t="str">
            <v>PL8</v>
          </cell>
          <cell r="F63">
            <v>0.8</v>
          </cell>
          <cell r="G63">
            <v>42860</v>
          </cell>
          <cell r="H63">
            <v>304035254</v>
          </cell>
          <cell r="I63">
            <v>6907451.4450000003</v>
          </cell>
          <cell r="J63" t="str">
            <v>No</v>
          </cell>
          <cell r="K63">
            <v>841</v>
          </cell>
          <cell r="L63">
            <v>305518352.80000001</v>
          </cell>
          <cell r="M63">
            <v>305518352.80000001</v>
          </cell>
          <cell r="N63">
            <v>-1483098.8000000119</v>
          </cell>
          <cell r="O63">
            <v>1.0249999999999999</v>
          </cell>
          <cell r="P63">
            <v>106.89999999999999</v>
          </cell>
          <cell r="Q63">
            <v>0.94948550046772684</v>
          </cell>
          <cell r="R63">
            <v>-5.051449953227316E-2</v>
          </cell>
        </row>
        <row r="64">
          <cell r="A64" t="str">
            <v>GFL</v>
          </cell>
          <cell r="B64" t="str">
            <v>Global Masters Fund Limited</v>
          </cell>
          <cell r="C64" t="str">
            <v>Equity - Global</v>
          </cell>
          <cell r="D64" t="str">
            <v>XFLAI</v>
          </cell>
          <cell r="E64" t="str">
            <v>GFL</v>
          </cell>
          <cell r="F64">
            <v>0.85</v>
          </cell>
          <cell r="G64">
            <v>39048</v>
          </cell>
          <cell r="H64">
            <v>22304170.720000003</v>
          </cell>
          <cell r="I64">
            <v>28454.340000000004</v>
          </cell>
          <cell r="J64" t="str">
            <v>No</v>
          </cell>
          <cell r="K64">
            <v>24</v>
          </cell>
          <cell r="L64">
            <v>22089707.539999999</v>
          </cell>
          <cell r="M64">
            <v>22089707.539999999</v>
          </cell>
          <cell r="N64">
            <v>214463.18000000343</v>
          </cell>
          <cell r="O64">
            <v>2.08</v>
          </cell>
          <cell r="P64">
            <v>216.8</v>
          </cell>
          <cell r="Q64">
            <v>0.95018450184501835</v>
          </cell>
          <cell r="R64">
            <v>-4.9815498154981652E-2</v>
          </cell>
        </row>
        <row r="65">
          <cell r="A65" t="str">
            <v>MGG</v>
          </cell>
          <cell r="B65" t="str">
            <v>Magellan Global Trust</v>
          </cell>
          <cell r="C65" t="str">
            <v>Equity - Global</v>
          </cell>
          <cell r="D65">
            <v>0</v>
          </cell>
          <cell r="E65" t="str">
            <v>MGG</v>
          </cell>
          <cell r="F65">
            <v>1.35</v>
          </cell>
          <cell r="G65">
            <v>43026</v>
          </cell>
          <cell r="H65">
            <v>1684017676.8000002</v>
          </cell>
          <cell r="I65">
            <v>32939702.862500008</v>
          </cell>
          <cell r="J65" t="str">
            <v>Yes</v>
          </cell>
          <cell r="K65">
            <v>4172</v>
          </cell>
          <cell r="L65">
            <v>1626129569.1599998</v>
          </cell>
          <cell r="M65">
            <v>1626129569.1599998</v>
          </cell>
          <cell r="N65">
            <v>57888107.640000343</v>
          </cell>
          <cell r="O65">
            <v>1.6</v>
          </cell>
          <cell r="P65">
            <v>161.97999999999999</v>
          </cell>
          <cell r="Q65">
            <v>0.9507346585998272</v>
          </cell>
          <cell r="R65">
            <v>-4.9265341400172802E-2</v>
          </cell>
        </row>
        <row r="66">
          <cell r="A66" t="str">
            <v>WLE</v>
          </cell>
          <cell r="B66" t="str">
            <v>WAM Leaders Limited</v>
          </cell>
          <cell r="C66" t="str">
            <v>Equity - Australia</v>
          </cell>
          <cell r="D66" t="str">
            <v>XKOAI</v>
          </cell>
          <cell r="E66" t="str">
            <v>WLE</v>
          </cell>
          <cell r="F66">
            <v>1</v>
          </cell>
          <cell r="G66">
            <v>42520</v>
          </cell>
          <cell r="H66">
            <v>808684246.94999993</v>
          </cell>
          <cell r="I66">
            <v>23653350.602500003</v>
          </cell>
          <cell r="J66" t="str">
            <v>Yes</v>
          </cell>
          <cell r="K66">
            <v>1829</v>
          </cell>
          <cell r="L66">
            <v>801652210.01999998</v>
          </cell>
          <cell r="M66">
            <v>801652210.01999998</v>
          </cell>
          <cell r="N66">
            <v>7032036.9299999475</v>
          </cell>
          <cell r="O66">
            <v>1.1499999999999999</v>
          </cell>
          <cell r="P66">
            <v>118.83999999999999</v>
          </cell>
          <cell r="Q66">
            <v>0.95506563446650972</v>
          </cell>
          <cell r="R66">
            <v>-4.4934365533490284E-2</v>
          </cell>
        </row>
        <row r="67">
          <cell r="A67" t="str">
            <v>EAF</v>
          </cell>
          <cell r="B67" t="str">
            <v>Evans &amp; Partners Asia Fund</v>
          </cell>
          <cell r="C67" t="str">
            <v>Equity - Global</v>
          </cell>
          <cell r="E67" t="str">
            <v>EAF</v>
          </cell>
          <cell r="F67">
            <v>1.6</v>
          </cell>
          <cell r="G67">
            <v>43237</v>
          </cell>
          <cell r="H67">
            <v>157717180.16999999</v>
          </cell>
          <cell r="I67">
            <v>1201672.7100000002</v>
          </cell>
          <cell r="J67" t="str">
            <v>No</v>
          </cell>
          <cell r="K67">
            <v>98</v>
          </cell>
          <cell r="L67">
            <v>159020627.94</v>
          </cell>
          <cell r="M67">
            <v>159020627.94</v>
          </cell>
          <cell r="N67">
            <v>-1303447.7700000107</v>
          </cell>
          <cell r="O67">
            <v>1.21</v>
          </cell>
          <cell r="P67">
            <v>127</v>
          </cell>
          <cell r="Q67">
            <v>0.96062992125984248</v>
          </cell>
          <cell r="R67">
            <v>-3.9370078740157521E-2</v>
          </cell>
        </row>
        <row r="68">
          <cell r="A68" t="str">
            <v>EMF</v>
          </cell>
          <cell r="B68" t="str">
            <v>Emerging Markets Masters Fund</v>
          </cell>
          <cell r="C68" t="str">
            <v>Equity - Global</v>
          </cell>
          <cell r="D68" t="str">
            <v>XAOAI</v>
          </cell>
          <cell r="E68" t="str">
            <v>EMF</v>
          </cell>
          <cell r="F68">
            <v>1.08</v>
          </cell>
          <cell r="G68">
            <v>41193</v>
          </cell>
          <cell r="H68">
            <v>139530023.13999999</v>
          </cell>
          <cell r="I68">
            <v>3006684.5150000006</v>
          </cell>
          <cell r="J68" t="str">
            <v>No</v>
          </cell>
          <cell r="K68">
            <v>203</v>
          </cell>
          <cell r="L68">
            <v>189225647.81999999</v>
          </cell>
          <cell r="M68">
            <v>189225647.81999999</v>
          </cell>
          <cell r="N68">
            <v>-49695624.680000007</v>
          </cell>
          <cell r="O68">
            <v>1.46</v>
          </cell>
          <cell r="P68">
            <v>204.99999999999997</v>
          </cell>
          <cell r="Q68">
            <v>0.96585365853658545</v>
          </cell>
          <cell r="R68">
            <v>-3.4146341463414553E-2</v>
          </cell>
        </row>
        <row r="69">
          <cell r="A69" t="str">
            <v>WHF</v>
          </cell>
          <cell r="B69" t="str">
            <v>Whitefield Limited</v>
          </cell>
          <cell r="C69" t="str">
            <v>Equity - Australia</v>
          </cell>
          <cell r="D69" t="str">
            <v>Flat 10% return over financial year</v>
          </cell>
          <cell r="E69" t="str">
            <v>WHF</v>
          </cell>
          <cell r="F69">
            <v>0.35</v>
          </cell>
          <cell r="G69">
            <v>26147</v>
          </cell>
          <cell r="H69">
            <v>397224989.13999999</v>
          </cell>
          <cell r="I69">
            <v>2403497.36</v>
          </cell>
          <cell r="J69" t="str">
            <v>No</v>
          </cell>
          <cell r="K69">
            <v>194</v>
          </cell>
          <cell r="L69">
            <v>390900375.04000002</v>
          </cell>
          <cell r="M69">
            <v>390900375.04000002</v>
          </cell>
          <cell r="N69">
            <v>6324614.0999999642</v>
          </cell>
          <cell r="O69">
            <v>4.54</v>
          </cell>
          <cell r="P69">
            <v>484</v>
          </cell>
          <cell r="Q69">
            <v>0.96900826446281008</v>
          </cell>
          <cell r="R69">
            <v>-3.0991735537189924E-2</v>
          </cell>
        </row>
        <row r="70">
          <cell r="A70" t="str">
            <v>CIE</v>
          </cell>
          <cell r="B70" t="str">
            <v>Contango Income Generator  Limited</v>
          </cell>
          <cell r="C70" t="str">
            <v>Equity - Australia</v>
          </cell>
          <cell r="D70">
            <v>0</v>
          </cell>
          <cell r="E70" t="str">
            <v>CIE</v>
          </cell>
          <cell r="F70">
            <v>0.95</v>
          </cell>
          <cell r="G70">
            <v>42230</v>
          </cell>
          <cell r="H70">
            <v>97495412.559999987</v>
          </cell>
          <cell r="I70">
            <v>1872377.6150000002</v>
          </cell>
          <cell r="J70" t="str">
            <v>No</v>
          </cell>
          <cell r="K70">
            <v>254</v>
          </cell>
          <cell r="L70">
            <v>99051190.420000002</v>
          </cell>
          <cell r="M70">
            <v>99051190.420000002</v>
          </cell>
          <cell r="N70">
            <v>-1555777.8600000143</v>
          </cell>
          <cell r="O70">
            <v>0.94</v>
          </cell>
          <cell r="P70">
            <v>97.399999999999991</v>
          </cell>
          <cell r="Q70">
            <v>0.97535934291581117</v>
          </cell>
          <cell r="R70">
            <v>-2.4640657084188833E-2</v>
          </cell>
        </row>
        <row r="71">
          <cell r="A71" t="str">
            <v>NCC</v>
          </cell>
          <cell r="B71" t="str">
            <v>NAOS Emerging Opportunities Company Limited</v>
          </cell>
          <cell r="C71" t="str">
            <v>Equity - Australia</v>
          </cell>
          <cell r="D71" t="str">
            <v>XAOAI</v>
          </cell>
          <cell r="E71" t="str">
            <v>NCC</v>
          </cell>
          <cell r="F71">
            <v>1.25</v>
          </cell>
          <cell r="G71">
            <v>41331</v>
          </cell>
          <cell r="H71">
            <v>74890320.309999987</v>
          </cell>
          <cell r="I71">
            <v>1053507.74</v>
          </cell>
          <cell r="J71" t="str">
            <v>Yes</v>
          </cell>
          <cell r="K71">
            <v>185</v>
          </cell>
          <cell r="L71">
            <v>71906642.210000008</v>
          </cell>
          <cell r="M71">
            <v>71906642.210000008</v>
          </cell>
          <cell r="N71">
            <v>2983678.0999999791</v>
          </cell>
          <cell r="O71">
            <v>1.2549999999999999</v>
          </cell>
          <cell r="P71">
            <v>128</v>
          </cell>
          <cell r="Q71">
            <v>0.9765625</v>
          </cell>
          <cell r="R71">
            <v>-2.34375E-2</v>
          </cell>
        </row>
        <row r="72">
          <cell r="A72" t="str">
            <v>ARG</v>
          </cell>
          <cell r="B72" t="str">
            <v>Argo Investments Limited</v>
          </cell>
          <cell r="C72" t="str">
            <v>Equity - Australia</v>
          </cell>
          <cell r="D72" t="str">
            <v>MSCI All Country World Net Index (AUD)</v>
          </cell>
          <cell r="E72" t="str">
            <v>ARG</v>
          </cell>
          <cell r="F72">
            <v>0.18</v>
          </cell>
          <cell r="G72">
            <v>23101</v>
          </cell>
          <cell r="H72">
            <v>5652551607.2600002</v>
          </cell>
          <cell r="I72">
            <v>40040367.974999994</v>
          </cell>
          <cell r="J72" t="str">
            <v>No</v>
          </cell>
          <cell r="K72">
            <v>4526</v>
          </cell>
          <cell r="L72">
            <v>5546167323.5600004</v>
          </cell>
          <cell r="M72">
            <v>5546167323.5600004</v>
          </cell>
          <cell r="N72">
            <v>106384283.69999981</v>
          </cell>
          <cell r="O72">
            <v>7.97</v>
          </cell>
          <cell r="P72">
            <v>792</v>
          </cell>
          <cell r="Q72">
            <v>0.98737373737373735</v>
          </cell>
          <cell r="R72">
            <v>-1.2626262626262652E-2</v>
          </cell>
        </row>
        <row r="73">
          <cell r="A73" t="str">
            <v>FPP</v>
          </cell>
          <cell r="B73" t="str">
            <v>Fat Prophets Global Property Fund</v>
          </cell>
          <cell r="C73" t="str">
            <v>Property - Global</v>
          </cell>
          <cell r="D73">
            <v>0</v>
          </cell>
          <cell r="E73" t="str">
            <v>FPP</v>
          </cell>
          <cell r="F73">
            <v>1.0249999999999999</v>
          </cell>
          <cell r="G73">
            <v>43018</v>
          </cell>
          <cell r="H73">
            <v>15469377.120000001</v>
          </cell>
          <cell r="I73">
            <v>105109.97</v>
          </cell>
          <cell r="J73" t="str">
            <v>Yes</v>
          </cell>
          <cell r="K73">
            <v>59</v>
          </cell>
          <cell r="L73">
            <v>16303510.199999999</v>
          </cell>
          <cell r="M73">
            <v>16303510.199999999</v>
          </cell>
          <cell r="N73">
            <v>-834133.07999999821</v>
          </cell>
          <cell r="O73">
            <v>1.02</v>
          </cell>
          <cell r="P73">
            <v>108.3</v>
          </cell>
          <cell r="Q73">
            <v>0.98799630655586335</v>
          </cell>
          <cell r="R73">
            <v>-1.2003693444136654E-2</v>
          </cell>
        </row>
        <row r="74">
          <cell r="A74" t="str">
            <v>FGX</v>
          </cell>
          <cell r="B74" t="str">
            <v>Future Generation Investment Company Limited</v>
          </cell>
          <cell r="C74" t="str">
            <v>Equity - Australia</v>
          </cell>
          <cell r="D74">
            <v>0</v>
          </cell>
          <cell r="E74" t="str">
            <v>FGX</v>
          </cell>
          <cell r="F74">
            <v>1</v>
          </cell>
          <cell r="G74">
            <v>35495</v>
          </cell>
          <cell r="H74">
            <v>440946128.73499995</v>
          </cell>
          <cell r="I74">
            <v>5327625.4400000004</v>
          </cell>
          <cell r="J74" t="str">
            <v>No</v>
          </cell>
          <cell r="K74">
            <v>670</v>
          </cell>
          <cell r="L74">
            <v>435675856.27999997</v>
          </cell>
          <cell r="M74">
            <v>435675856.27999997</v>
          </cell>
          <cell r="N74">
            <v>5270272.4549999833</v>
          </cell>
          <cell r="O74">
            <v>1.2549999999999999</v>
          </cell>
          <cell r="P74">
            <v>125.41</v>
          </cell>
          <cell r="Q74">
            <v>0.98875687744199026</v>
          </cell>
          <cell r="R74">
            <v>-1.1243122558009744E-2</v>
          </cell>
        </row>
        <row r="75">
          <cell r="A75" t="str">
            <v>MLT</v>
          </cell>
          <cell r="B75" t="str">
            <v>Milton Corporation Limited</v>
          </cell>
          <cell r="C75" t="str">
            <v>Equity - Australia</v>
          </cell>
          <cell r="D75" t="str">
            <v>-</v>
          </cell>
          <cell r="E75" t="str">
            <v>MLT</v>
          </cell>
          <cell r="F75">
            <v>0.14000000000000001</v>
          </cell>
          <cell r="G75">
            <v>22753</v>
          </cell>
          <cell r="H75">
            <v>3034167457.1500001</v>
          </cell>
          <cell r="I75">
            <v>16021454.925000001</v>
          </cell>
          <cell r="J75" t="str">
            <v>No</v>
          </cell>
          <cell r="K75">
            <v>1424</v>
          </cell>
          <cell r="L75">
            <v>2981513791.9500003</v>
          </cell>
          <cell r="M75">
            <v>2981513791.9500003</v>
          </cell>
          <cell r="N75">
            <v>52653665.199999809</v>
          </cell>
          <cell r="O75">
            <v>4.6100000000000003</v>
          </cell>
          <cell r="P75">
            <v>457</v>
          </cell>
          <cell r="Q75">
            <v>0.98905908096280071</v>
          </cell>
          <cell r="R75">
            <v>-1.0940919037199293E-2</v>
          </cell>
        </row>
        <row r="76">
          <cell r="A76" t="str">
            <v>WAA</v>
          </cell>
          <cell r="B76" t="str">
            <v>WAM Active Limited</v>
          </cell>
          <cell r="C76" t="str">
            <v>Equity - Australia</v>
          </cell>
          <cell r="D76" t="str">
            <v>UBS Australia Bank Bill Index</v>
          </cell>
          <cell r="E76" t="str">
            <v>WAA</v>
          </cell>
          <cell r="F76">
            <v>1</v>
          </cell>
          <cell r="G76">
            <v>39458</v>
          </cell>
          <cell r="H76">
            <v>45940695.450000003</v>
          </cell>
          <cell r="I76">
            <v>707996.3</v>
          </cell>
          <cell r="J76" t="str">
            <v>Yes</v>
          </cell>
          <cell r="K76">
            <v>118</v>
          </cell>
          <cell r="L76">
            <v>45940695.450000003</v>
          </cell>
          <cell r="M76">
            <v>45940695.450000003</v>
          </cell>
          <cell r="N76">
            <v>0</v>
          </cell>
          <cell r="O76">
            <v>1.105</v>
          </cell>
          <cell r="P76">
            <v>109.00000000000001</v>
          </cell>
          <cell r="Q76">
            <v>0.99082568807339433</v>
          </cell>
          <cell r="R76">
            <v>-9.1743119266056716E-3</v>
          </cell>
        </row>
        <row r="77">
          <cell r="A77" t="str">
            <v>AYF</v>
          </cell>
          <cell r="B77" t="str">
            <v>Australian Enhanced Income Fund</v>
          </cell>
          <cell r="C77" t="str">
            <v>Equity - Australia</v>
          </cell>
          <cell r="D77">
            <v>0</v>
          </cell>
          <cell r="E77" t="str">
            <v>AYF</v>
          </cell>
          <cell r="F77" t="str">
            <v>n/a</v>
          </cell>
          <cell r="G77">
            <v>39007</v>
          </cell>
          <cell r="H77">
            <v>19178500.399999999</v>
          </cell>
          <cell r="I77">
            <v>189357.37</v>
          </cell>
          <cell r="J77" t="str">
            <v>n/a</v>
          </cell>
          <cell r="K77">
            <v>23</v>
          </cell>
          <cell r="L77">
            <v>19840490.039999999</v>
          </cell>
          <cell r="M77">
            <v>19840490.039999999</v>
          </cell>
          <cell r="N77">
            <v>-661989.6400000006</v>
          </cell>
          <cell r="O77">
            <v>5.8</v>
          </cell>
          <cell r="P77">
            <v>591.4</v>
          </cell>
          <cell r="Q77">
            <v>0.99425092999661824</v>
          </cell>
          <cell r="R77">
            <v>-5.7490700033817621E-3</v>
          </cell>
        </row>
        <row r="78">
          <cell r="A78" t="str">
            <v>AFI</v>
          </cell>
          <cell r="B78" t="str">
            <v>Australian Foundation Investment Company Limited</v>
          </cell>
          <cell r="C78" t="str">
            <v>Equity - Australia</v>
          </cell>
          <cell r="D78" t="str">
            <v>-</v>
          </cell>
          <cell r="E78" t="str">
            <v>AFI</v>
          </cell>
          <cell r="F78">
            <v>0.18</v>
          </cell>
          <cell r="G78">
            <v>22827</v>
          </cell>
          <cell r="H78">
            <v>7306663019.04</v>
          </cell>
          <cell r="I78">
            <v>59343784.624999985</v>
          </cell>
          <cell r="J78" t="str">
            <v>No</v>
          </cell>
          <cell r="K78">
            <v>7095</v>
          </cell>
          <cell r="L78">
            <v>7116879564</v>
          </cell>
          <cell r="M78">
            <v>7116879564</v>
          </cell>
          <cell r="N78">
            <v>189783455.03999996</v>
          </cell>
          <cell r="O78">
            <v>6.16</v>
          </cell>
          <cell r="P78">
            <v>607</v>
          </cell>
          <cell r="Q78">
            <v>0.99505766062602963</v>
          </cell>
          <cell r="R78">
            <v>-4.9423393739703725E-3</v>
          </cell>
        </row>
        <row r="79">
          <cell r="A79" t="str">
            <v>EGD</v>
          </cell>
          <cell r="B79" t="str">
            <v>Evans &amp; Partners Global Disruption Fund</v>
          </cell>
          <cell r="C79" t="str">
            <v>Equity - Global</v>
          </cell>
          <cell r="D79" t="str">
            <v>XJOAI</v>
          </cell>
          <cell r="E79" t="str">
            <v>EGD</v>
          </cell>
          <cell r="F79">
            <v>1.5448</v>
          </cell>
          <cell r="G79">
            <v>42948</v>
          </cell>
          <cell r="H79">
            <v>262143819.47</v>
          </cell>
          <cell r="I79">
            <v>2500947.65</v>
          </cell>
          <cell r="J79" t="str">
            <v>No</v>
          </cell>
          <cell r="K79">
            <v>243</v>
          </cell>
          <cell r="L79">
            <v>253447105.08000001</v>
          </cell>
          <cell r="M79">
            <v>253447105.08000001</v>
          </cell>
          <cell r="N79">
            <v>8696714.3899999857</v>
          </cell>
          <cell r="O79">
            <v>2.11</v>
          </cell>
          <cell r="P79">
            <v>204</v>
          </cell>
          <cell r="Q79">
            <v>0.99509803921568618</v>
          </cell>
          <cell r="R79">
            <v>-4.9019607843138191E-3</v>
          </cell>
        </row>
        <row r="80">
          <cell r="A80" t="str">
            <v>CD2</v>
          </cell>
          <cell r="B80" t="str">
            <v>Cordish Dixon Private Equity Fund II</v>
          </cell>
          <cell r="C80" t="str">
            <v>Equity - Global</v>
          </cell>
          <cell r="D80">
            <v>0</v>
          </cell>
          <cell r="E80" t="str">
            <v>CD2</v>
          </cell>
          <cell r="F80">
            <v>0.33</v>
          </cell>
          <cell r="G80">
            <v>41373</v>
          </cell>
          <cell r="H80">
            <v>113139581.99999999</v>
          </cell>
          <cell r="I80">
            <v>245447.75</v>
          </cell>
          <cell r="J80" t="str">
            <v>No</v>
          </cell>
          <cell r="K80">
            <v>19</v>
          </cell>
          <cell r="L80">
            <v>112587681.60000001</v>
          </cell>
          <cell r="M80">
            <v>112587681.60000001</v>
          </cell>
          <cell r="N80">
            <v>551900.39999997616</v>
          </cell>
          <cell r="O80">
            <v>2.0499999999999998</v>
          </cell>
          <cell r="P80">
            <v>204.99999999999997</v>
          </cell>
          <cell r="Q80">
            <v>0.9951219512195123</v>
          </cell>
          <cell r="R80">
            <v>-4.8780487804876982E-3</v>
          </cell>
        </row>
        <row r="81">
          <cell r="A81" t="str">
            <v>GVF</v>
          </cell>
          <cell r="B81" t="str">
            <v>Global Value Fund Limited</v>
          </cell>
          <cell r="C81" t="str">
            <v>Equity - Global</v>
          </cell>
          <cell r="D81">
            <v>0</v>
          </cell>
          <cell r="E81" t="str">
            <v>GVF</v>
          </cell>
          <cell r="F81" t="str">
            <v>n/a</v>
          </cell>
          <cell r="G81">
            <v>41841</v>
          </cell>
          <cell r="H81">
            <v>156834159.92999998</v>
          </cell>
          <cell r="I81">
            <v>1847438.92</v>
          </cell>
          <cell r="J81" t="str">
            <v>No</v>
          </cell>
          <cell r="K81">
            <v>340</v>
          </cell>
          <cell r="L81">
            <v>159043091.76000002</v>
          </cell>
          <cell r="M81">
            <v>159043091.76000002</v>
          </cell>
          <cell r="N81">
            <v>-2208931.8300000429</v>
          </cell>
          <cell r="O81">
            <v>1.0649999999999999</v>
          </cell>
          <cell r="P81">
            <v>108.13</v>
          </cell>
          <cell r="Q81">
            <v>0.99879774345695005</v>
          </cell>
          <cell r="R81">
            <v>-1.202256543049951E-3</v>
          </cell>
        </row>
        <row r="82">
          <cell r="A82" t="str">
            <v>PAF</v>
          </cell>
          <cell r="B82" t="str">
            <v>PM Capital Asian Opportunities Fund Limited</v>
          </cell>
          <cell r="C82" t="str">
            <v>Equity - Global</v>
          </cell>
          <cell r="D82">
            <v>0</v>
          </cell>
          <cell r="E82" t="str">
            <v>PAF</v>
          </cell>
          <cell r="F82">
            <v>1</v>
          </cell>
          <cell r="G82">
            <v>41781</v>
          </cell>
          <cell r="H82">
            <v>63634709.25999999</v>
          </cell>
          <cell r="I82">
            <v>1957367.3800000001</v>
          </cell>
          <cell r="J82" t="str">
            <v>Yes</v>
          </cell>
          <cell r="K82">
            <v>297</v>
          </cell>
          <cell r="L82">
            <v>70955516.519999996</v>
          </cell>
          <cell r="M82">
            <v>70955516.519999996</v>
          </cell>
          <cell r="N82">
            <v>-7320807.2600000054</v>
          </cell>
          <cell r="O82">
            <v>1.1299999999999999</v>
          </cell>
          <cell r="P82">
            <v>128.03</v>
          </cell>
          <cell r="Q82">
            <v>0.99976567991876908</v>
          </cell>
          <cell r="R82">
            <v>-2.3432008123092096E-4</v>
          </cell>
        </row>
        <row r="83">
          <cell r="A83" t="str">
            <v>GCI</v>
          </cell>
          <cell r="B83" t="str">
            <v>Gryphon Capital Income Trust</v>
          </cell>
          <cell r="C83" t="str">
            <v>Fixed Income - Australia</v>
          </cell>
          <cell r="D83" t="str">
            <v>RBA Cash Rate plus 3.50%</v>
          </cell>
          <cell r="E83" t="str">
            <v>GCI</v>
          </cell>
          <cell r="F83">
            <v>0.96</v>
          </cell>
          <cell r="G83">
            <v>43245</v>
          </cell>
          <cell r="H83">
            <v>175300000</v>
          </cell>
          <cell r="I83">
            <v>4478202.38</v>
          </cell>
          <cell r="J83" t="str">
            <v>No</v>
          </cell>
          <cell r="K83">
            <v>258</v>
          </cell>
          <cell r="L83">
            <v>176176499.99999997</v>
          </cell>
          <cell r="M83">
            <v>176176499.99999997</v>
          </cell>
          <cell r="N83">
            <v>-876499.9999999702</v>
          </cell>
          <cell r="O83">
            <v>2</v>
          </cell>
          <cell r="P83">
            <v>200.04</v>
          </cell>
          <cell r="Q83">
            <v>0.99980003999200162</v>
          </cell>
          <cell r="R83">
            <v>-1.9996000799837876E-4</v>
          </cell>
        </row>
        <row r="84">
          <cell r="A84" t="str">
            <v>SNC</v>
          </cell>
          <cell r="B84" t="str">
            <v>Sandon Capital Investments Limited</v>
          </cell>
          <cell r="C84" t="str">
            <v>Equity - Australia</v>
          </cell>
          <cell r="D84" t="str">
            <v>MSCI World</v>
          </cell>
          <cell r="E84" t="str">
            <v>SNC</v>
          </cell>
          <cell r="F84">
            <v>1.25</v>
          </cell>
          <cell r="G84">
            <v>41631</v>
          </cell>
          <cell r="H84">
            <v>44802769.975000001</v>
          </cell>
          <cell r="I84">
            <v>518998.82500000001</v>
          </cell>
          <cell r="J84" t="str">
            <v>Yes</v>
          </cell>
          <cell r="K84">
            <v>93</v>
          </cell>
          <cell r="L84">
            <v>46740187.055</v>
          </cell>
          <cell r="M84">
            <v>46740187.055</v>
          </cell>
          <cell r="N84">
            <v>-1937417.0799999982</v>
          </cell>
          <cell r="O84">
            <v>0.92500000000000004</v>
          </cell>
          <cell r="P84">
            <v>96.509999999999991</v>
          </cell>
          <cell r="Q84">
            <v>0.99989638379442558</v>
          </cell>
          <cell r="R84">
            <v>-1.0361620557441942E-4</v>
          </cell>
        </row>
        <row r="85">
          <cell r="A85" t="str">
            <v>FGG</v>
          </cell>
          <cell r="B85" t="str">
            <v>Future Generation Global Investment Company Limited</v>
          </cell>
          <cell r="C85" t="str">
            <v>Equity - Global</v>
          </cell>
          <cell r="D85" t="str">
            <v>-</v>
          </cell>
          <cell r="E85" t="str">
            <v>FGG</v>
          </cell>
          <cell r="F85">
            <v>1</v>
          </cell>
          <cell r="G85">
            <v>42257</v>
          </cell>
          <cell r="H85">
            <v>402712836.80000001</v>
          </cell>
          <cell r="I85">
            <v>5107353.9050000003</v>
          </cell>
          <cell r="J85" t="str">
            <v>No</v>
          </cell>
          <cell r="K85">
            <v>711</v>
          </cell>
          <cell r="L85">
            <v>389387779.69999999</v>
          </cell>
          <cell r="M85">
            <v>389387779.69999999</v>
          </cell>
          <cell r="N85">
            <v>13325057.100000024</v>
          </cell>
          <cell r="O85">
            <v>1.36</v>
          </cell>
          <cell r="P85">
            <v>131</v>
          </cell>
          <cell r="Q85">
            <v>1</v>
          </cell>
          <cell r="R85">
            <v>0</v>
          </cell>
        </row>
        <row r="86">
          <cell r="A86" t="str">
            <v>CD1</v>
          </cell>
          <cell r="B86" t="str">
            <v>Cordish Dixon Private Equity Fund I</v>
          </cell>
          <cell r="C86" t="str">
            <v>Equity - Global</v>
          </cell>
          <cell r="D86">
            <v>0</v>
          </cell>
          <cell r="E86" t="str">
            <v>CD1</v>
          </cell>
          <cell r="F86">
            <v>0.33</v>
          </cell>
          <cell r="G86">
            <v>41135</v>
          </cell>
          <cell r="H86">
            <v>64762768.559999995</v>
          </cell>
          <cell r="I86">
            <v>88549.53</v>
          </cell>
          <cell r="J86" t="str">
            <v>No</v>
          </cell>
          <cell r="K86">
            <v>21</v>
          </cell>
          <cell r="L86">
            <v>70224688.799999997</v>
          </cell>
          <cell r="M86">
            <v>70224688.799999997</v>
          </cell>
          <cell r="N86">
            <v>-5461920.2400000021</v>
          </cell>
          <cell r="O86">
            <v>1.66</v>
          </cell>
          <cell r="P86">
            <v>179</v>
          </cell>
          <cell r="Q86">
            <v>1.005586592178771</v>
          </cell>
          <cell r="R86">
            <v>5.5865921787709993E-3</v>
          </cell>
        </row>
        <row r="87">
          <cell r="A87" t="str">
            <v>LRT</v>
          </cell>
          <cell r="B87" t="str">
            <v>Lowell Resources Fund</v>
          </cell>
          <cell r="C87" t="str">
            <v>Equity - Global</v>
          </cell>
          <cell r="D87">
            <v>0</v>
          </cell>
          <cell r="E87" t="str">
            <v>LRT</v>
          </cell>
          <cell r="F87" t="str">
            <v>n/a</v>
          </cell>
          <cell r="G87">
            <v>43181</v>
          </cell>
          <cell r="H87">
            <v>18881363.25</v>
          </cell>
          <cell r="I87">
            <v>72561.499999999985</v>
          </cell>
          <cell r="J87" t="str">
            <v>n/a</v>
          </cell>
          <cell r="K87">
            <v>23</v>
          </cell>
          <cell r="L87">
            <v>22098188.100000001</v>
          </cell>
          <cell r="M87">
            <v>22098188.100000001</v>
          </cell>
          <cell r="N87">
            <v>-3216824.8500000015</v>
          </cell>
          <cell r="O87">
            <v>6.75</v>
          </cell>
          <cell r="P87">
            <v>792.18999999999994</v>
          </cell>
          <cell r="Q87">
            <v>1.0098587460079023</v>
          </cell>
          <cell r="R87">
            <v>9.8587460079022637E-3</v>
          </cell>
        </row>
        <row r="88">
          <cell r="A88" t="str">
            <v>PIC</v>
          </cell>
          <cell r="B88" t="str">
            <v>Perpetual Equity Investment Company Limited</v>
          </cell>
          <cell r="C88" t="str">
            <v>Equity - Australia</v>
          </cell>
          <cell r="D88" t="str">
            <v>XKOAI</v>
          </cell>
          <cell r="E88" t="str">
            <v>PIC</v>
          </cell>
          <cell r="F88">
            <v>1</v>
          </cell>
          <cell r="G88">
            <v>41991</v>
          </cell>
          <cell r="H88">
            <v>297698223.41999996</v>
          </cell>
          <cell r="I88">
            <v>4264456.3899999997</v>
          </cell>
          <cell r="J88" t="str">
            <v>No</v>
          </cell>
          <cell r="K88">
            <v>560</v>
          </cell>
          <cell r="L88">
            <v>286248291.75</v>
          </cell>
          <cell r="M88">
            <v>286248291.75</v>
          </cell>
          <cell r="N88">
            <v>11449931.669999957</v>
          </cell>
          <cell r="O88">
            <v>1.17</v>
          </cell>
          <cell r="P88">
            <v>112.4</v>
          </cell>
          <cell r="Q88">
            <v>1.0142348754448396</v>
          </cell>
          <cell r="R88">
            <v>1.423487544483959E-2</v>
          </cell>
        </row>
        <row r="89">
          <cell r="A89" t="str">
            <v>LSX</v>
          </cell>
          <cell r="B89" t="str">
            <v>Lion Selection Group Limited</v>
          </cell>
          <cell r="C89" t="str">
            <v>Equity - Global</v>
          </cell>
          <cell r="D89" t="str">
            <v>XKOAI</v>
          </cell>
          <cell r="E89" t="str">
            <v>LSX</v>
          </cell>
          <cell r="F89">
            <v>1.5</v>
          </cell>
          <cell r="G89">
            <v>41346</v>
          </cell>
          <cell r="H89">
            <v>45040463.699999996</v>
          </cell>
          <cell r="I89">
            <v>448772.72500000003</v>
          </cell>
          <cell r="J89" t="str">
            <v>Yes</v>
          </cell>
          <cell r="K89">
            <v>93</v>
          </cell>
          <cell r="L89">
            <v>49544510.07</v>
          </cell>
          <cell r="M89">
            <v>49544510.07</v>
          </cell>
          <cell r="N89">
            <v>-4504046.3700000048</v>
          </cell>
          <cell r="O89">
            <v>0.3</v>
          </cell>
          <cell r="P89">
            <v>32</v>
          </cell>
          <cell r="Q89">
            <v>1.015625</v>
          </cell>
          <cell r="R89">
            <v>1.5625E-2</v>
          </cell>
        </row>
        <row r="90">
          <cell r="A90" t="str">
            <v>VG1</v>
          </cell>
          <cell r="B90" t="str">
            <v>VGI Partners Global Investments Limited</v>
          </cell>
          <cell r="C90" t="str">
            <v>Equity - Global</v>
          </cell>
          <cell r="D90">
            <v>0</v>
          </cell>
          <cell r="E90" t="str">
            <v>VG1</v>
          </cell>
          <cell r="F90">
            <v>1.5</v>
          </cell>
          <cell r="G90">
            <v>43006</v>
          </cell>
          <cell r="H90">
            <v>624844417.65999997</v>
          </cell>
          <cell r="I90">
            <v>8586512.5100000016</v>
          </cell>
          <cell r="J90" t="str">
            <v>Yes</v>
          </cell>
          <cell r="K90">
            <v>977</v>
          </cell>
          <cell r="L90">
            <v>600070850.44000006</v>
          </cell>
          <cell r="M90">
            <v>600070850.44000006</v>
          </cell>
          <cell r="N90">
            <v>24773567.219999909</v>
          </cell>
          <cell r="O90">
            <v>2.27</v>
          </cell>
          <cell r="P90">
            <v>212</v>
          </cell>
          <cell r="Q90">
            <v>1.0283018867924529</v>
          </cell>
          <cell r="R90">
            <v>2.8301886792452935E-2</v>
          </cell>
        </row>
        <row r="91">
          <cell r="A91" t="str">
            <v>MXT</v>
          </cell>
          <cell r="B91" t="str">
            <v>MCP Master Income Trust</v>
          </cell>
          <cell r="C91" t="str">
            <v>Fixed Income - Australia</v>
          </cell>
          <cell r="D91">
            <v>0</v>
          </cell>
          <cell r="E91" t="str">
            <v>MXT</v>
          </cell>
          <cell r="F91">
            <v>0.86</v>
          </cell>
          <cell r="G91">
            <v>43017</v>
          </cell>
          <cell r="H91">
            <v>752384520.80999994</v>
          </cell>
          <cell r="I91">
            <v>20653306.215000004</v>
          </cell>
          <cell r="J91" t="str">
            <v>No</v>
          </cell>
          <cell r="K91">
            <v>1989</v>
          </cell>
          <cell r="L91">
            <v>745024806.74999988</v>
          </cell>
          <cell r="M91">
            <v>745024806.74999988</v>
          </cell>
          <cell r="N91">
            <v>7359714.060000062</v>
          </cell>
          <cell r="O91">
            <v>2.0699999999999998</v>
          </cell>
          <cell r="P91">
            <v>200</v>
          </cell>
          <cell r="Q91">
            <v>1.03</v>
          </cell>
          <cell r="R91">
            <v>3.0000000000000027E-2</v>
          </cell>
        </row>
        <row r="92">
          <cell r="A92" t="str">
            <v>CDM</v>
          </cell>
          <cell r="B92" t="str">
            <v>Cadence Capital Limited</v>
          </cell>
          <cell r="C92" t="str">
            <v>Equity - Australia</v>
          </cell>
          <cell r="D92" t="str">
            <v>-</v>
          </cell>
          <cell r="E92" t="str">
            <v>CDM</v>
          </cell>
          <cell r="F92">
            <v>1</v>
          </cell>
          <cell r="G92">
            <v>39056</v>
          </cell>
          <cell r="H92">
            <v>397447055</v>
          </cell>
          <cell r="I92">
            <v>7886958.6050000004</v>
          </cell>
          <cell r="J92" t="str">
            <v>Yes</v>
          </cell>
          <cell r="K92">
            <v>1302</v>
          </cell>
          <cell r="L92">
            <v>405395996.09999996</v>
          </cell>
          <cell r="M92">
            <v>405395996.09999996</v>
          </cell>
          <cell r="N92">
            <v>-7948941.0999999642</v>
          </cell>
          <cell r="O92">
            <v>1.25</v>
          </cell>
          <cell r="P92">
            <v>123.50000000000001</v>
          </cell>
          <cell r="Q92">
            <v>1.0323886639676112</v>
          </cell>
          <cell r="R92">
            <v>3.2388663967611198E-2</v>
          </cell>
        </row>
        <row r="93">
          <cell r="A93" t="str">
            <v>PAI</v>
          </cell>
          <cell r="B93" t="str">
            <v>Platinum Asia Investments Limited</v>
          </cell>
          <cell r="C93" t="str">
            <v>Equity - Global</v>
          </cell>
          <cell r="D93">
            <v>0</v>
          </cell>
          <cell r="E93" t="str">
            <v>PAI</v>
          </cell>
          <cell r="F93">
            <v>1.1000000000000001</v>
          </cell>
          <cell r="G93">
            <v>42268</v>
          </cell>
          <cell r="H93">
            <v>453604528.44</v>
          </cell>
          <cell r="I93">
            <v>7582308.4349999996</v>
          </cell>
          <cell r="J93" t="str">
            <v>Yes</v>
          </cell>
          <cell r="K93">
            <v>1559</v>
          </cell>
          <cell r="L93">
            <v>460804600.31999999</v>
          </cell>
          <cell r="M93">
            <v>460804600.31999999</v>
          </cell>
          <cell r="N93">
            <v>-7200071.8799999952</v>
          </cell>
          <cell r="O93">
            <v>1.26</v>
          </cell>
          <cell r="P93">
            <v>123.98</v>
          </cell>
          <cell r="Q93">
            <v>1.032424584610421</v>
          </cell>
          <cell r="R93">
            <v>3.242458461042097E-2</v>
          </cell>
        </row>
        <row r="94">
          <cell r="A94" t="str">
            <v>MIR</v>
          </cell>
          <cell r="B94" t="str">
            <v>Mirrabooka Investments Limited</v>
          </cell>
          <cell r="C94" t="str">
            <v>Equity - Australia</v>
          </cell>
          <cell r="D94" t="str">
            <v>S&amp;P/ASX All Ordinaries Accumulation Index</v>
          </cell>
          <cell r="E94" t="str">
            <v>MIR</v>
          </cell>
          <cell r="F94">
            <v>0.7</v>
          </cell>
          <cell r="G94">
            <v>37070</v>
          </cell>
          <cell r="H94">
            <v>425426752.20999998</v>
          </cell>
          <cell r="I94">
            <v>3362926.4950000001</v>
          </cell>
          <cell r="J94" t="str">
            <v>No</v>
          </cell>
          <cell r="K94">
            <v>427</v>
          </cell>
          <cell r="L94">
            <v>417519191.75999999</v>
          </cell>
          <cell r="M94">
            <v>417519191.75999999</v>
          </cell>
          <cell r="N94">
            <v>7907560.4499999881</v>
          </cell>
          <cell r="O94">
            <v>2.69</v>
          </cell>
          <cell r="P94">
            <v>252</v>
          </cell>
          <cell r="Q94">
            <v>1.0357142857142858</v>
          </cell>
          <cell r="R94">
            <v>3.5714285714285809E-2</v>
          </cell>
        </row>
        <row r="95">
          <cell r="A95" t="str">
            <v>CD3</v>
          </cell>
          <cell r="B95" t="str">
            <v>Cordish Dixon Private Equity Fund III</v>
          </cell>
          <cell r="C95" t="str">
            <v>Equity - Global</v>
          </cell>
          <cell r="D95">
            <v>0</v>
          </cell>
          <cell r="E95" t="str">
            <v>CD3</v>
          </cell>
          <cell r="F95">
            <v>0.33</v>
          </cell>
          <cell r="G95">
            <v>42578</v>
          </cell>
          <cell r="H95">
            <v>107322345.8</v>
          </cell>
          <cell r="I95">
            <v>341203.97499999998</v>
          </cell>
          <cell r="J95" t="str">
            <v>No</v>
          </cell>
          <cell r="K95">
            <v>29</v>
          </cell>
          <cell r="L95">
            <v>113084619.40000001</v>
          </cell>
          <cell r="M95">
            <v>113084619.40000001</v>
          </cell>
          <cell r="N95">
            <v>-5762273.6000000089</v>
          </cell>
          <cell r="O95">
            <v>1.49</v>
          </cell>
          <cell r="P95">
            <v>152</v>
          </cell>
          <cell r="Q95">
            <v>1.0394736842105263</v>
          </cell>
          <cell r="R95">
            <v>3.9473684210526327E-2</v>
          </cell>
        </row>
        <row r="96">
          <cell r="A96" t="str">
            <v>DJW</v>
          </cell>
          <cell r="B96" t="str">
            <v>Djerriwarrh Investments Limited</v>
          </cell>
          <cell r="C96" t="str">
            <v>Equity - Australia</v>
          </cell>
          <cell r="D96" t="str">
            <v>XMDAI</v>
          </cell>
          <cell r="E96" t="str">
            <v>DJW</v>
          </cell>
          <cell r="F96">
            <v>0.39</v>
          </cell>
          <cell r="G96">
            <v>34878</v>
          </cell>
          <cell r="H96">
            <v>746806183.5</v>
          </cell>
          <cell r="I96">
            <v>10803562.495000001</v>
          </cell>
          <cell r="J96" t="str">
            <v>No</v>
          </cell>
          <cell r="K96">
            <v>1283</v>
          </cell>
          <cell r="L96">
            <v>760063098</v>
          </cell>
          <cell r="M96">
            <v>760063098</v>
          </cell>
          <cell r="N96">
            <v>-13256914.5</v>
          </cell>
          <cell r="O96">
            <v>3.38</v>
          </cell>
          <cell r="P96">
            <v>323</v>
          </cell>
          <cell r="Q96">
            <v>1.0588235294117647</v>
          </cell>
          <cell r="R96">
            <v>5.8823529411764719E-2</v>
          </cell>
        </row>
        <row r="97">
          <cell r="A97" t="str">
            <v>WMI</v>
          </cell>
          <cell r="B97" t="str">
            <v>WAM Microcap Limited</v>
          </cell>
          <cell r="C97" t="str">
            <v>Equity - Australia</v>
          </cell>
          <cell r="D97">
            <v>0</v>
          </cell>
          <cell r="E97" t="str">
            <v>WMI</v>
          </cell>
          <cell r="F97">
            <v>1</v>
          </cell>
          <cell r="G97">
            <v>42914</v>
          </cell>
          <cell r="H97">
            <v>199715655.22499999</v>
          </cell>
          <cell r="I97">
            <v>3181626.7200000007</v>
          </cell>
          <cell r="J97" t="str">
            <v>Yes</v>
          </cell>
          <cell r="K97">
            <v>516</v>
          </cell>
          <cell r="L97">
            <v>196211871.79999998</v>
          </cell>
          <cell r="M97">
            <v>196211871.79999998</v>
          </cell>
          <cell r="N97">
            <v>3503783.4250000119</v>
          </cell>
          <cell r="O97">
            <v>1.425</v>
          </cell>
          <cell r="P97">
            <v>132.97</v>
          </cell>
          <cell r="Q97">
            <v>1.0603895615552381</v>
          </cell>
          <cell r="R97">
            <v>6.0389561555238114E-2</v>
          </cell>
        </row>
        <row r="98">
          <cell r="A98" t="str">
            <v>LSF</v>
          </cell>
          <cell r="B98" t="str">
            <v>L1 Long Short Fund Limited</v>
          </cell>
          <cell r="C98" t="str">
            <v>Equity - Global</v>
          </cell>
          <cell r="D98">
            <v>1</v>
          </cell>
          <cell r="E98" t="str">
            <v>LSF</v>
          </cell>
          <cell r="F98">
            <v>1.4350000000000001</v>
          </cell>
          <cell r="G98">
            <v>43214</v>
          </cell>
          <cell r="H98">
            <v>1249897590.72</v>
          </cell>
          <cell r="I98">
            <v>42965564.469999991</v>
          </cell>
          <cell r="J98" t="str">
            <v>No</v>
          </cell>
          <cell r="K98">
            <v>3149</v>
          </cell>
          <cell r="L98">
            <v>1349623462.3199999</v>
          </cell>
          <cell r="M98">
            <v>1349623462.3199999</v>
          </cell>
          <cell r="N98">
            <v>-99725871.599999905</v>
          </cell>
          <cell r="O98">
            <v>1.88</v>
          </cell>
          <cell r="P98">
            <v>189.35999999999999</v>
          </cell>
          <cell r="Q98">
            <v>1.0667511618081962</v>
          </cell>
          <cell r="R98">
            <v>6.675116180819618E-2</v>
          </cell>
        </row>
        <row r="99">
          <cell r="A99" t="str">
            <v>AUP</v>
          </cell>
          <cell r="B99" t="str">
            <v>Aurora Property Buy-Write Income Trust</v>
          </cell>
          <cell r="C99" t="str">
            <v>Equity - Australia</v>
          </cell>
          <cell r="D99">
            <v>0</v>
          </cell>
          <cell r="E99" t="str">
            <v>AUP</v>
          </cell>
          <cell r="F99">
            <v>1.03</v>
          </cell>
          <cell r="G99">
            <v>39289</v>
          </cell>
          <cell r="H99">
            <v>4865089.72</v>
          </cell>
          <cell r="I99">
            <v>74258.23000000001</v>
          </cell>
          <cell r="J99" t="str">
            <v>Yes</v>
          </cell>
          <cell r="K99">
            <v>18</v>
          </cell>
          <cell r="L99">
            <v>7029407.1999999993</v>
          </cell>
          <cell r="M99">
            <v>7029407.1999999993</v>
          </cell>
          <cell r="N99">
            <v>-2164317.4799999995</v>
          </cell>
          <cell r="O99">
            <v>2.63</v>
          </cell>
          <cell r="P99">
            <v>353.34</v>
          </cell>
          <cell r="Q99">
            <v>1.0754514065772345</v>
          </cell>
          <cell r="R99">
            <v>7.5451406577234481E-2</v>
          </cell>
        </row>
        <row r="100">
          <cell r="A100" t="str">
            <v>TEK</v>
          </cell>
          <cell r="B100" t="str">
            <v>Thorney Technologies Ltd</v>
          </cell>
          <cell r="C100" t="str">
            <v>Equity - Global</v>
          </cell>
          <cell r="D100" t="str">
            <v>-</v>
          </cell>
          <cell r="E100" t="str">
            <v>TEK</v>
          </cell>
          <cell r="F100">
            <v>0.75</v>
          </cell>
          <cell r="G100">
            <v>38482</v>
          </cell>
          <cell r="H100">
            <v>63055313.615000002</v>
          </cell>
          <cell r="I100">
            <v>1158798.3799999999</v>
          </cell>
          <cell r="J100" t="str">
            <v>Yes</v>
          </cell>
          <cell r="K100">
            <v>243</v>
          </cell>
          <cell r="L100">
            <v>70776372.425000012</v>
          </cell>
          <cell r="M100">
            <v>70776372.425000012</v>
          </cell>
          <cell r="N100">
            <v>-7721058.8100000098</v>
          </cell>
          <cell r="O100">
            <v>0.245</v>
          </cell>
          <cell r="P100">
            <v>24.7</v>
          </cell>
          <cell r="Q100">
            <v>1.1133603238866399</v>
          </cell>
          <cell r="R100">
            <v>0.11336032388663986</v>
          </cell>
        </row>
        <row r="101">
          <cell r="A101" t="str">
            <v>CMI</v>
          </cell>
          <cell r="B101" t="str">
            <v>CMI Limited</v>
          </cell>
          <cell r="C101" t="str">
            <v>Equity - Australia</v>
          </cell>
          <cell r="D101" t="str">
            <v>MSCI World</v>
          </cell>
          <cell r="E101" t="str">
            <v>CMI</v>
          </cell>
          <cell r="F101" t="str">
            <v>n/a</v>
          </cell>
          <cell r="G101">
            <v>34081</v>
          </cell>
          <cell r="H101">
            <v>42816461.414999999</v>
          </cell>
          <cell r="I101">
            <v>208581.785</v>
          </cell>
          <cell r="J101" t="str">
            <v>n/a</v>
          </cell>
          <cell r="K101">
            <v>49</v>
          </cell>
          <cell r="L101">
            <v>43286971.979999997</v>
          </cell>
          <cell r="M101">
            <v>43286971.979999997</v>
          </cell>
          <cell r="N101">
            <v>-470510.56499999762</v>
          </cell>
          <cell r="O101">
            <v>1.365</v>
          </cell>
          <cell r="P101">
            <v>122.24999999999999</v>
          </cell>
          <cell r="Q101">
            <v>1.1165644171779143</v>
          </cell>
          <cell r="R101">
            <v>0.11656441717791433</v>
          </cell>
        </row>
        <row r="102">
          <cell r="A102" t="str">
            <v>FOR</v>
          </cell>
          <cell r="B102" t="str">
            <v>Forager Australian Shares Fund</v>
          </cell>
          <cell r="C102" t="str">
            <v>Equity - Australia</v>
          </cell>
          <cell r="D102" t="str">
            <v>XKOAI</v>
          </cell>
          <cell r="E102" t="str">
            <v>FOR</v>
          </cell>
          <cell r="F102">
            <v>1.88</v>
          </cell>
          <cell r="G102">
            <v>42720</v>
          </cell>
          <cell r="H102">
            <v>175081800.96000001</v>
          </cell>
          <cell r="I102">
            <v>2277362.3200000003</v>
          </cell>
          <cell r="J102" t="str">
            <v>No</v>
          </cell>
          <cell r="K102">
            <v>293</v>
          </cell>
          <cell r="L102">
            <v>185112529.13999999</v>
          </cell>
          <cell r="M102">
            <v>185112529.13999999</v>
          </cell>
          <cell r="N102">
            <v>-10030728.179999977</v>
          </cell>
          <cell r="O102">
            <v>1.92</v>
          </cell>
          <cell r="P102">
            <v>179</v>
          </cell>
          <cell r="Q102">
            <v>1.1229050279329607</v>
          </cell>
          <cell r="R102">
            <v>0.12290502793296065</v>
          </cell>
        </row>
        <row r="103">
          <cell r="A103" t="str">
            <v>8IH</v>
          </cell>
          <cell r="B103" t="str">
            <v>8I Holdings Ltd</v>
          </cell>
          <cell r="C103" t="str">
            <v>Equity - Global</v>
          </cell>
          <cell r="D103">
            <v>0</v>
          </cell>
          <cell r="E103" t="str">
            <v>8IH</v>
          </cell>
          <cell r="F103" t="str">
            <v>n/a</v>
          </cell>
          <cell r="G103">
            <v>41990</v>
          </cell>
          <cell r="H103">
            <v>45247322.625</v>
          </cell>
          <cell r="I103">
            <v>61296.154999999999</v>
          </cell>
          <cell r="K103">
            <v>28</v>
          </cell>
          <cell r="L103">
            <v>45247322.625</v>
          </cell>
          <cell r="M103">
            <v>45247322.625</v>
          </cell>
          <cell r="N103">
            <v>0</v>
          </cell>
          <cell r="O103">
            <v>0.125</v>
          </cell>
          <cell r="P103">
            <v>10.999000000000001</v>
          </cell>
          <cell r="Q103">
            <v>1.136466951541049</v>
          </cell>
          <cell r="R103">
            <v>0.13646695154104904</v>
          </cell>
        </row>
        <row r="104">
          <cell r="A104" t="str">
            <v>PMC</v>
          </cell>
          <cell r="B104" t="str">
            <v>Platinum Capital Limited</v>
          </cell>
          <cell r="C104" t="str">
            <v>Equity - Global</v>
          </cell>
          <cell r="D104" t="str">
            <v>-</v>
          </cell>
          <cell r="E104" t="str">
            <v>PMC</v>
          </cell>
          <cell r="F104">
            <v>1.5</v>
          </cell>
          <cell r="G104">
            <v>34514</v>
          </cell>
          <cell r="H104">
            <v>597574950.61000001</v>
          </cell>
          <cell r="I104">
            <v>13091947.380000001</v>
          </cell>
          <cell r="J104" t="str">
            <v>Yes</v>
          </cell>
          <cell r="K104">
            <v>1613</v>
          </cell>
          <cell r="L104">
            <v>580419688.86999989</v>
          </cell>
          <cell r="M104">
            <v>580419688.86999989</v>
          </cell>
          <cell r="N104">
            <v>17155261.740000129</v>
          </cell>
          <cell r="O104">
            <v>2.09</v>
          </cell>
          <cell r="P104">
            <v>178.11999999999998</v>
          </cell>
          <cell r="Q104">
            <v>1.1452953065349205</v>
          </cell>
          <cell r="R104">
            <v>0.14529530653492051</v>
          </cell>
        </row>
        <row r="105">
          <cell r="A105" t="str">
            <v>HML</v>
          </cell>
          <cell r="B105" t="str">
            <v>Henry Morgan Limited</v>
          </cell>
          <cell r="C105" t="str">
            <v>Equity - Global</v>
          </cell>
          <cell r="D105">
            <v>0</v>
          </cell>
          <cell r="E105" t="str">
            <v>HML</v>
          </cell>
          <cell r="F105">
            <v>2</v>
          </cell>
          <cell r="G105">
            <v>42405</v>
          </cell>
          <cell r="H105">
            <v>61381828.600000001</v>
          </cell>
          <cell r="I105">
            <v>0</v>
          </cell>
          <cell r="J105" t="str">
            <v>Yes</v>
          </cell>
          <cell r="K105">
            <v>0</v>
          </cell>
          <cell r="L105">
            <v>61381828.600000001</v>
          </cell>
          <cell r="M105">
            <v>61381828.600000001</v>
          </cell>
          <cell r="N105">
            <v>0</v>
          </cell>
          <cell r="O105">
            <v>1.99</v>
          </cell>
          <cell r="P105">
            <v>172.92000000000002</v>
          </cell>
          <cell r="Q105">
            <v>1.1508211889891278</v>
          </cell>
          <cell r="R105">
            <v>0.15082118898912777</v>
          </cell>
        </row>
        <row r="106">
          <cell r="A106" t="str">
            <v>WAX</v>
          </cell>
          <cell r="B106" t="str">
            <v>WAM Research Limited</v>
          </cell>
          <cell r="C106" t="str">
            <v>Equity - Australia</v>
          </cell>
          <cell r="D106" t="str">
            <v>XAOAI</v>
          </cell>
          <cell r="E106" t="str">
            <v>WAX</v>
          </cell>
          <cell r="F106">
            <v>1</v>
          </cell>
          <cell r="G106">
            <v>37852</v>
          </cell>
          <cell r="H106">
            <v>284493568.87</v>
          </cell>
          <cell r="I106">
            <v>4262517.5124999993</v>
          </cell>
          <cell r="J106" t="str">
            <v>Yes</v>
          </cell>
          <cell r="K106">
            <v>665</v>
          </cell>
          <cell r="L106">
            <v>281667473.815</v>
          </cell>
          <cell r="M106">
            <v>281667473.815</v>
          </cell>
          <cell r="N106">
            <v>2826095.0550000072</v>
          </cell>
          <cell r="O106">
            <v>1.51</v>
          </cell>
          <cell r="P106">
            <v>126.52000000000001</v>
          </cell>
          <cell r="Q106">
            <v>1.1776794182737906</v>
          </cell>
          <cell r="R106">
            <v>0.17767941827379063</v>
          </cell>
        </row>
        <row r="107">
          <cell r="A107" t="str">
            <v>WAM</v>
          </cell>
          <cell r="B107" t="str">
            <v>WAM Capital Limited</v>
          </cell>
          <cell r="C107" t="str">
            <v>Equity - Australia</v>
          </cell>
          <cell r="D107" t="str">
            <v>XAOAI</v>
          </cell>
          <cell r="E107" t="str">
            <v>WAM</v>
          </cell>
          <cell r="F107">
            <v>1</v>
          </cell>
          <cell r="G107">
            <v>36384</v>
          </cell>
          <cell r="H107">
            <v>1590703954.28</v>
          </cell>
          <cell r="I107">
            <v>30195525.614999995</v>
          </cell>
          <cell r="J107" t="str">
            <v>Yes</v>
          </cell>
          <cell r="K107">
            <v>2768</v>
          </cell>
          <cell r="L107">
            <v>1577336694.1599998</v>
          </cell>
          <cell r="M107">
            <v>1577336694.1599998</v>
          </cell>
          <cell r="N107">
            <v>13367260.120000124</v>
          </cell>
          <cell r="O107">
            <v>2.38</v>
          </cell>
          <cell r="P107">
            <v>199.54000000000002</v>
          </cell>
          <cell r="Q107">
            <v>1.1827202565901573</v>
          </cell>
          <cell r="R107">
            <v>0.18272025659015734</v>
          </cell>
        </row>
        <row r="108">
          <cell r="A108" t="str">
            <v>BSN</v>
          </cell>
          <cell r="B108" t="str">
            <v>Bisan Limited</v>
          </cell>
          <cell r="C108" t="str">
            <v>Equity - Australia</v>
          </cell>
          <cell r="D108">
            <v>0</v>
          </cell>
          <cell r="E108" t="str">
            <v>BSN</v>
          </cell>
          <cell r="F108" t="str">
            <v>n/a</v>
          </cell>
          <cell r="G108">
            <v>31806</v>
          </cell>
          <cell r="H108">
            <v>519422.46500000003</v>
          </cell>
          <cell r="I108">
            <v>0</v>
          </cell>
          <cell r="J108" t="str">
            <v>No</v>
          </cell>
          <cell r="K108">
            <v>0</v>
          </cell>
          <cell r="L108">
            <v>519422.46500000003</v>
          </cell>
          <cell r="M108">
            <v>519422.46500000003</v>
          </cell>
          <cell r="N108">
            <v>0</v>
          </cell>
          <cell r="O108">
            <v>5.0000000000000001E-3</v>
          </cell>
          <cell r="P108" t="e">
            <v>#VALUE!</v>
          </cell>
          <cell r="Q108" t="e">
            <v>#VALUE!</v>
          </cell>
          <cell r="R108" t="str">
            <v>n/a</v>
          </cell>
        </row>
        <row r="109">
          <cell r="A109" t="str">
            <v>WQG</v>
          </cell>
          <cell r="B109" t="str">
            <v>WCM Global Growth Limited</v>
          </cell>
          <cell r="C109" t="str">
            <v>Equity - Global</v>
          </cell>
          <cell r="D109">
            <v>0</v>
          </cell>
          <cell r="E109" t="str">
            <v>WQG</v>
          </cell>
          <cell r="F109">
            <v>1.25</v>
          </cell>
          <cell r="G109">
            <v>42909</v>
          </cell>
          <cell r="H109">
            <v>97808743.849999994</v>
          </cell>
          <cell r="I109">
            <v>3020663.3399999994</v>
          </cell>
          <cell r="J109" t="str">
            <v>Yes</v>
          </cell>
          <cell r="K109">
            <v>262</v>
          </cell>
          <cell r="L109">
            <v>0</v>
          </cell>
          <cell r="M109">
            <v>0</v>
          </cell>
          <cell r="N109">
            <v>97808743.849999994</v>
          </cell>
          <cell r="O109">
            <v>1.075</v>
          </cell>
          <cell r="P109" t="e">
            <v>#N/A</v>
          </cell>
          <cell r="Q109" t="e">
            <v>#N/A</v>
          </cell>
          <cell r="R109" t="str">
            <v>n/a</v>
          </cell>
        </row>
        <row r="110">
          <cell r="A110" t="str">
            <v>EFF</v>
          </cell>
          <cell r="B110" t="str">
            <v>Evans &amp; Partners Australian Flagship Fund</v>
          </cell>
          <cell r="C110" t="str">
            <v>Equity - Australia</v>
          </cell>
          <cell r="E110" t="str">
            <v>EFF</v>
          </cell>
          <cell r="F110">
            <v>1.18</v>
          </cell>
          <cell r="G110">
            <v>43278</v>
          </cell>
          <cell r="H110">
            <v>32437481.600000001</v>
          </cell>
          <cell r="I110">
            <v>0</v>
          </cell>
          <cell r="J110" t="str">
            <v>Yes</v>
          </cell>
          <cell r="K110">
            <v>0</v>
          </cell>
          <cell r="L110">
            <v>0</v>
          </cell>
          <cell r="M110">
            <v>0</v>
          </cell>
          <cell r="N110">
            <v>32437481.600000001</v>
          </cell>
          <cell r="O110">
            <v>1.6</v>
          </cell>
          <cell r="P110">
            <v>0</v>
          </cell>
          <cell r="Q110" t="e">
            <v>#DIV/0!</v>
          </cell>
          <cell r="R110" t="str">
            <v>n/a</v>
          </cell>
        </row>
        <row r="111">
          <cell r="A111" t="str">
            <v>WGB</v>
          </cell>
          <cell r="B111" t="str">
            <v>WAM Global Limited</v>
          </cell>
          <cell r="C111" t="str">
            <v>Equity - Global</v>
          </cell>
          <cell r="E111" t="str">
            <v>WGB</v>
          </cell>
          <cell r="F111">
            <v>1.25</v>
          </cell>
          <cell r="G111">
            <v>43273</v>
          </cell>
          <cell r="H111">
            <v>467652846.82999998</v>
          </cell>
          <cell r="I111">
            <v>6820938.8799999999</v>
          </cell>
          <cell r="J111" t="str">
            <v>Yes</v>
          </cell>
          <cell r="K111">
            <v>618</v>
          </cell>
          <cell r="L111" t="e">
            <v>#N/A</v>
          </cell>
          <cell r="M111" t="e">
            <v>#N/A</v>
          </cell>
          <cell r="N111" t="e">
            <v>#N/A</v>
          </cell>
          <cell r="O111">
            <v>2.21</v>
          </cell>
          <cell r="P111">
            <v>0</v>
          </cell>
          <cell r="Q111" t="e">
            <v>#DIV/0!</v>
          </cell>
          <cell r="R111" t="str">
            <v>n/a</v>
          </cell>
        </row>
        <row r="112">
          <cell r="H112">
            <v>41116556463.258995</v>
          </cell>
          <cell r="L112">
            <v>50081461217.08799</v>
          </cell>
        </row>
        <row r="114">
          <cell r="H114">
            <v>82233112926.51799</v>
          </cell>
          <cell r="M114" t="e">
            <v>#N/A</v>
          </cell>
        </row>
        <row r="116">
          <cell r="A116" t="str">
            <v>Number:</v>
          </cell>
        </row>
        <row r="118">
          <cell r="A118" t="str">
            <v>Equity - Australia</v>
          </cell>
          <cell r="B118">
            <v>66</v>
          </cell>
        </row>
        <row r="119">
          <cell r="A119" t="str">
            <v>Equity - Global</v>
          </cell>
          <cell r="B119">
            <v>38</v>
          </cell>
        </row>
        <row r="120">
          <cell r="A120" t="str">
            <v>Infrastructure</v>
          </cell>
          <cell r="B120">
            <v>1</v>
          </cell>
        </row>
        <row r="121">
          <cell r="A121" t="str">
            <v>Fixed Income - Australia</v>
          </cell>
          <cell r="B121">
            <v>4</v>
          </cell>
        </row>
        <row r="122">
          <cell r="A122" t="str">
            <v>Property - Global</v>
          </cell>
          <cell r="B122">
            <v>1</v>
          </cell>
        </row>
        <row r="123">
          <cell r="A123" t="str">
            <v>Total</v>
          </cell>
          <cell r="B123">
            <v>110</v>
          </cell>
        </row>
        <row r="126">
          <cell r="B126" t="str">
            <v>FUM</v>
          </cell>
        </row>
        <row r="129">
          <cell r="B129" t="str">
            <v>FUM</v>
          </cell>
          <cell r="C129" t="str">
            <v>Value Transacted</v>
          </cell>
          <cell r="D129" t="str">
            <v>Change in FUM</v>
          </cell>
        </row>
        <row r="130">
          <cell r="A130" t="str">
            <v>Equity - Australia</v>
          </cell>
          <cell r="B130">
            <v>29349341739.534996</v>
          </cell>
          <cell r="C130">
            <v>314.30682400950002</v>
          </cell>
          <cell r="D130">
            <v>672301421.96299922</v>
          </cell>
          <cell r="E130" t="str">
            <v>Equity - Australia - $314.31 m</v>
          </cell>
        </row>
        <row r="131">
          <cell r="A131" t="str">
            <v>Equity - Global</v>
          </cell>
          <cell r="B131">
            <v>10489699142.994001</v>
          </cell>
          <cell r="C131">
            <v>191.46072909950001</v>
          </cell>
          <cell r="D131" t="e">
            <v>#N/A</v>
          </cell>
          <cell r="E131" t="str">
            <v>Equity - Global - $191.46 m</v>
          </cell>
        </row>
        <row r="132">
          <cell r="A132" t="str">
            <v>Infrastructure</v>
          </cell>
          <cell r="B132">
            <v>255918119.40000001</v>
          </cell>
          <cell r="C132">
            <v>5.6692495174999999</v>
          </cell>
          <cell r="D132">
            <v>1775669.5500000119</v>
          </cell>
          <cell r="E132" t="str">
            <v>Infrastructure - $5.67 m</v>
          </cell>
        </row>
        <row r="133">
          <cell r="A133" t="str">
            <v>Fixed Income - Australia</v>
          </cell>
          <cell r="B133">
            <v>1006128084.2099999</v>
          </cell>
          <cell r="C133">
            <v>25.535845585000004</v>
          </cell>
          <cell r="D133">
            <v>14785416.400000095</v>
          </cell>
          <cell r="E133" t="str">
            <v>Fixed Income - Australia - $25.54 m</v>
          </cell>
        </row>
        <row r="134">
          <cell r="A134" t="str">
            <v>Property - Global</v>
          </cell>
          <cell r="B134">
            <v>15469377.120000001</v>
          </cell>
          <cell r="C134">
            <v>0.10510997</v>
          </cell>
          <cell r="D134">
            <v>-834133.07999999821</v>
          </cell>
          <cell r="E134" t="str">
            <v>Property - Global - $.11 m</v>
          </cell>
        </row>
        <row r="135">
          <cell r="A135" t="str">
            <v>Total</v>
          </cell>
          <cell r="B135">
            <v>41116556463.259003</v>
          </cell>
          <cell r="C135">
            <v>537.07775818149992</v>
          </cell>
          <cell r="D135">
            <v>0</v>
          </cell>
          <cell r="E135" t="str">
            <v>Total - $537.08 m</v>
          </cell>
        </row>
        <row r="137">
          <cell r="A137" t="str">
            <v>Top 5 by Value</v>
          </cell>
        </row>
        <row r="138">
          <cell r="A138" t="str">
            <v>AFI</v>
          </cell>
          <cell r="B138">
            <v>59.343784624999984</v>
          </cell>
          <cell r="C138">
            <v>59343784.624999985</v>
          </cell>
          <cell r="D138" t="str">
            <v>Australian Foundation Investment Company Limited</v>
          </cell>
          <cell r="E138" t="str">
            <v>AFI - Australian Foundation Investment Company Limited, $59.34 m</v>
          </cell>
        </row>
        <row r="139">
          <cell r="A139" t="str">
            <v>LSF</v>
          </cell>
          <cell r="B139">
            <v>42.96556446999999</v>
          </cell>
          <cell r="C139">
            <v>42965564.469999991</v>
          </cell>
          <cell r="D139" t="str">
            <v>L1 Long Short Fund Limited</v>
          </cell>
          <cell r="E139" t="str">
            <v>LSF - L1 Long Short Fund Limited, $42.97 m</v>
          </cell>
        </row>
        <row r="140">
          <cell r="A140" t="str">
            <v>ARG</v>
          </cell>
          <cell r="B140">
            <v>40.040367974999995</v>
          </cell>
          <cell r="C140">
            <v>40040367.974999994</v>
          </cell>
          <cell r="D140" t="str">
            <v>Argo Investments Limited</v>
          </cell>
          <cell r="E140" t="str">
            <v>ARG - Argo Investments Limited, $40.04 m</v>
          </cell>
        </row>
        <row r="141">
          <cell r="A141" t="str">
            <v>MGG</v>
          </cell>
          <cell r="B141">
            <v>32.939702862500006</v>
          </cell>
          <cell r="C141">
            <v>32939702.862500008</v>
          </cell>
          <cell r="D141" t="str">
            <v>Magellan Global Trust</v>
          </cell>
          <cell r="E141" t="str">
            <v>MGG - Magellan Global Trust, $32.94 m</v>
          </cell>
        </row>
        <row r="142">
          <cell r="A142" t="str">
            <v>WAM</v>
          </cell>
          <cell r="B142">
            <v>30.195525614999994</v>
          </cell>
          <cell r="C142">
            <v>30195525.614999995</v>
          </cell>
          <cell r="D142" t="str">
            <v>WAM Capital Limited</v>
          </cell>
          <cell r="E142" t="str">
            <v>WAM - WAM Capital Limited, $30.2 m</v>
          </cell>
        </row>
      </sheetData>
      <sheetData sheetId="31">
        <row r="2">
          <cell r="A2" t="str">
            <v>VVR</v>
          </cell>
          <cell r="B2" t="str">
            <v>Viva Energy REIT</v>
          </cell>
          <cell r="C2" t="str">
            <v>Property - Australia</v>
          </cell>
          <cell r="D2" t="str">
            <v>S&amp;P/ASX 200 A-REITs</v>
          </cell>
          <cell r="E2" t="str">
            <v>VVR</v>
          </cell>
          <cell r="F2">
            <v>42585</v>
          </cell>
          <cell r="G2">
            <v>1632936829.5</v>
          </cell>
          <cell r="H2">
            <v>114006597.7229</v>
          </cell>
          <cell r="I2">
            <v>28891</v>
          </cell>
          <cell r="J2">
            <v>1487786889.0999999</v>
          </cell>
          <cell r="K2">
            <v>1487786889.0999999</v>
          </cell>
          <cell r="L2">
            <v>145149940.4000001</v>
          </cell>
        </row>
        <row r="3">
          <cell r="A3" t="str">
            <v>VCX</v>
          </cell>
          <cell r="B3" t="str">
            <v>Vicinity Centres</v>
          </cell>
          <cell r="C3" t="str">
            <v>Property - Australia</v>
          </cell>
          <cell r="D3" t="str">
            <v>S&amp;P/ASX 200 A-REITs</v>
          </cell>
          <cell r="E3" t="str">
            <v>VCX</v>
          </cell>
          <cell r="F3">
            <v>40882</v>
          </cell>
          <cell r="G3">
            <v>10027467224.529999</v>
          </cell>
          <cell r="H3">
            <v>732928599.75619996</v>
          </cell>
          <cell r="I3">
            <v>80017</v>
          </cell>
          <cell r="J3">
            <v>10337195941.889999</v>
          </cell>
          <cell r="K3">
            <v>10337195941.889999</v>
          </cell>
          <cell r="L3">
            <v>-309728717.36000061</v>
          </cell>
        </row>
        <row r="4">
          <cell r="A4" t="str">
            <v>URF</v>
          </cell>
          <cell r="B4" t="str">
            <v>US Masters Residential Property Fund</v>
          </cell>
          <cell r="C4" t="str">
            <v>Property - Global</v>
          </cell>
          <cell r="D4" t="str">
            <v>S&amp;P/ASX 200 A-REITs</v>
          </cell>
          <cell r="E4" t="str">
            <v>URF</v>
          </cell>
          <cell r="F4">
            <v>41113</v>
          </cell>
          <cell r="G4">
            <v>562868434.44000006</v>
          </cell>
          <cell r="H4">
            <v>3219024.2450000001</v>
          </cell>
          <cell r="I4">
            <v>283</v>
          </cell>
          <cell r="J4">
            <v>580909089.38999999</v>
          </cell>
          <cell r="K4">
            <v>580909089.38999999</v>
          </cell>
          <cell r="L4">
            <v>-18040654.949999928</v>
          </cell>
        </row>
        <row r="5">
          <cell r="A5" t="str">
            <v>TOT</v>
          </cell>
          <cell r="B5" t="str">
            <v>360 Capital Total Return Fund</v>
          </cell>
          <cell r="C5" t="str">
            <v>Property - Australia</v>
          </cell>
          <cell r="D5" t="str">
            <v>S&amp;P/ASX 200 A-REITs</v>
          </cell>
          <cell r="E5" t="str">
            <v>TOT</v>
          </cell>
          <cell r="F5">
            <v>42116</v>
          </cell>
          <cell r="G5">
            <v>82975595.219999999</v>
          </cell>
          <cell r="H5">
            <v>1211628.5550000002</v>
          </cell>
          <cell r="I5">
            <v>126</v>
          </cell>
          <cell r="J5">
            <v>79682912.870000005</v>
          </cell>
          <cell r="K5">
            <v>79682912.870000005</v>
          </cell>
          <cell r="L5">
            <v>3292682.349999994</v>
          </cell>
        </row>
        <row r="6">
          <cell r="A6" t="str">
            <v>CIP</v>
          </cell>
          <cell r="B6" t="str">
            <v>Centuria Industrial REIT</v>
          </cell>
          <cell r="C6" t="str">
            <v>Property - Australia</v>
          </cell>
          <cell r="D6" t="str">
            <v>S&amp;P/ASX 200 A-REITs</v>
          </cell>
          <cell r="E6" t="str">
            <v>CIP</v>
          </cell>
          <cell r="F6">
            <v>41256</v>
          </cell>
          <cell r="G6">
            <v>638277916.62</v>
          </cell>
          <cell r="H6">
            <v>10838760.549899999</v>
          </cell>
          <cell r="I6">
            <v>10338</v>
          </cell>
          <cell r="J6">
            <v>640761488.27999997</v>
          </cell>
          <cell r="K6">
            <v>640761488.27999997</v>
          </cell>
          <cell r="L6">
            <v>-2483571.6599999666</v>
          </cell>
        </row>
        <row r="7">
          <cell r="A7" t="str">
            <v>TGP</v>
          </cell>
          <cell r="B7" t="str">
            <v>360 Capital Group</v>
          </cell>
          <cell r="C7" t="str">
            <v>Property - Australia</v>
          </cell>
          <cell r="D7" t="str">
            <v>S&amp;P/ASX 200 A-REITs</v>
          </cell>
          <cell r="E7" t="str">
            <v>TGP</v>
          </cell>
          <cell r="F7">
            <v>38559</v>
          </cell>
          <cell r="G7">
            <v>231955209.49999997</v>
          </cell>
          <cell r="H7">
            <v>8236001.1450000023</v>
          </cell>
          <cell r="I7">
            <v>489</v>
          </cell>
          <cell r="J7">
            <v>234240482.49999997</v>
          </cell>
          <cell r="K7">
            <v>234240482.49999997</v>
          </cell>
          <cell r="L7">
            <v>-2285273</v>
          </cell>
        </row>
        <row r="8">
          <cell r="A8" t="str">
            <v>SGP</v>
          </cell>
          <cell r="B8" t="str">
            <v>Stockland</v>
          </cell>
          <cell r="C8" t="str">
            <v>Property - Australia</v>
          </cell>
          <cell r="D8" t="str">
            <v>S&amp;P/ASX 200 A-REITs</v>
          </cell>
          <cell r="E8" t="str">
            <v>SGP</v>
          </cell>
          <cell r="F8">
            <v>32245</v>
          </cell>
          <cell r="G8">
            <v>9664843025.7200012</v>
          </cell>
          <cell r="H8">
            <v>704499515.94970036</v>
          </cell>
          <cell r="I8">
            <v>91394</v>
          </cell>
          <cell r="J8">
            <v>10103047495.400002</v>
          </cell>
          <cell r="K8">
            <v>10103047495.400002</v>
          </cell>
          <cell r="L8">
            <v>-438204469.68000031</v>
          </cell>
        </row>
        <row r="9">
          <cell r="A9" t="str">
            <v>SCP</v>
          </cell>
          <cell r="B9" t="str">
            <v>Shopping Centres Australasia Property Group</v>
          </cell>
          <cell r="C9" t="str">
            <v>Property - Australia</v>
          </cell>
          <cell r="D9" t="str">
            <v>S&amp;P/ASX 200 A-REITs</v>
          </cell>
          <cell r="E9" t="str">
            <v>SCP</v>
          </cell>
          <cell r="F9">
            <v>41239</v>
          </cell>
          <cell r="G9">
            <v>1835428365.7500002</v>
          </cell>
          <cell r="H9">
            <v>168173529.29119998</v>
          </cell>
          <cell r="I9">
            <v>43833</v>
          </cell>
          <cell r="J9">
            <v>1842919910.0999999</v>
          </cell>
          <cell r="K9">
            <v>1842919910.0999999</v>
          </cell>
          <cell r="L9">
            <v>-7491544.3499996662</v>
          </cell>
        </row>
        <row r="10">
          <cell r="A10" t="str">
            <v>SCG</v>
          </cell>
          <cell r="B10" t="str">
            <v>Scentre Group</v>
          </cell>
          <cell r="C10" t="str">
            <v>Property - Australia</v>
          </cell>
          <cell r="D10" t="str">
            <v>S&amp;P/ASX 200 A-REITs</v>
          </cell>
          <cell r="E10" t="str">
            <v>SCG</v>
          </cell>
          <cell r="F10">
            <v>41815</v>
          </cell>
          <cell r="G10">
            <v>23348375454.5</v>
          </cell>
          <cell r="H10">
            <v>1234854652.6626563</v>
          </cell>
          <cell r="I10">
            <v>126621</v>
          </cell>
          <cell r="J10">
            <v>22255560114.039997</v>
          </cell>
          <cell r="K10">
            <v>22255560114.039997</v>
          </cell>
          <cell r="L10">
            <v>1092815340.4600029</v>
          </cell>
        </row>
        <row r="11">
          <cell r="A11" t="str">
            <v>RNY</v>
          </cell>
          <cell r="B11" t="str">
            <v>RNY Property Trust</v>
          </cell>
          <cell r="C11" t="str">
            <v>Property - Australia</v>
          </cell>
          <cell r="D11" t="str">
            <v>S&amp;P/ASX 200 A-REITs</v>
          </cell>
          <cell r="E11" t="str">
            <v>RNY</v>
          </cell>
          <cell r="F11">
            <v>38978</v>
          </cell>
          <cell r="G11">
            <v>1317069.4450000001</v>
          </cell>
          <cell r="H11">
            <v>13702.203</v>
          </cell>
          <cell r="I11">
            <v>43</v>
          </cell>
          <cell r="J11">
            <v>2370725.0010000002</v>
          </cell>
          <cell r="K11">
            <v>2370725.0010000002</v>
          </cell>
          <cell r="L11">
            <v>-1053655.5560000001</v>
          </cell>
        </row>
        <row r="12">
          <cell r="A12" t="str">
            <v>RFF</v>
          </cell>
          <cell r="B12" t="str">
            <v>Rural Funds Group</v>
          </cell>
          <cell r="C12" t="str">
            <v>Property - Australia</v>
          </cell>
          <cell r="D12" t="str">
            <v>S&amp;P/ASX 200 A-REITs</v>
          </cell>
          <cell r="E12" t="str">
            <v>RFF</v>
          </cell>
          <cell r="F12">
            <v>41684</v>
          </cell>
          <cell r="G12">
            <v>541936691.80000007</v>
          </cell>
          <cell r="H12">
            <v>9880297.318500001</v>
          </cell>
          <cell r="I12">
            <v>7150</v>
          </cell>
          <cell r="J12">
            <v>544492996.94999993</v>
          </cell>
          <cell r="K12">
            <v>544492996.94999993</v>
          </cell>
          <cell r="L12">
            <v>-2556305.1499998569</v>
          </cell>
        </row>
        <row r="13">
          <cell r="A13" t="str">
            <v>NSR</v>
          </cell>
          <cell r="B13" t="str">
            <v>National Storage REIT</v>
          </cell>
          <cell r="C13" t="str">
            <v>Property - Australia</v>
          </cell>
          <cell r="D13" t="str">
            <v>S&amp;P/ASX 200 A-REITs</v>
          </cell>
          <cell r="E13" t="str">
            <v>NSR</v>
          </cell>
          <cell r="F13">
            <v>41627</v>
          </cell>
          <cell r="G13">
            <v>919731084.09000003</v>
          </cell>
          <cell r="H13">
            <v>81251187.443000004</v>
          </cell>
          <cell r="I13">
            <v>34726</v>
          </cell>
          <cell r="J13">
            <v>886184661.56999993</v>
          </cell>
          <cell r="K13">
            <v>886184661.56999993</v>
          </cell>
          <cell r="L13">
            <v>33546422.5200001</v>
          </cell>
        </row>
        <row r="14">
          <cell r="A14" t="str">
            <v>MGR</v>
          </cell>
          <cell r="B14" t="str">
            <v>Mirvac Group</v>
          </cell>
          <cell r="C14" t="str">
            <v>Property - Australia</v>
          </cell>
          <cell r="D14" t="str">
            <v>S&amp;P/ASX 200 A-REITs</v>
          </cell>
          <cell r="E14" t="str">
            <v>MGR</v>
          </cell>
          <cell r="F14">
            <v>36329</v>
          </cell>
          <cell r="G14">
            <v>8052592166.2199993</v>
          </cell>
          <cell r="H14">
            <v>951747939.62160027</v>
          </cell>
          <cell r="I14">
            <v>81377</v>
          </cell>
          <cell r="J14">
            <v>8535005521.7999992</v>
          </cell>
          <cell r="K14">
            <v>8535005521.7999992</v>
          </cell>
          <cell r="L14">
            <v>-482413355.57999992</v>
          </cell>
        </row>
        <row r="15">
          <cell r="A15" t="str">
            <v>LTN</v>
          </cell>
          <cell r="B15" t="str">
            <v>Lantern Hotel Group</v>
          </cell>
          <cell r="C15" t="str">
            <v>Property - Australia</v>
          </cell>
          <cell r="D15" t="str">
            <v>S&amp;P/ASX 200 A-REITs</v>
          </cell>
          <cell r="E15" t="str">
            <v>LTN</v>
          </cell>
          <cell r="F15">
            <v>38176</v>
          </cell>
          <cell r="G15">
            <v>3532808.52</v>
          </cell>
          <cell r="H15">
            <v>0</v>
          </cell>
          <cell r="I15">
            <v>0</v>
          </cell>
          <cell r="J15">
            <v>3532808.52</v>
          </cell>
          <cell r="K15">
            <v>3532808.52</v>
          </cell>
          <cell r="L15">
            <v>0</v>
          </cell>
        </row>
        <row r="16">
          <cell r="A16" t="str">
            <v>LEP</v>
          </cell>
          <cell r="B16" t="str">
            <v>ALE Property Group</v>
          </cell>
          <cell r="C16" t="str">
            <v>Property - Australia</v>
          </cell>
          <cell r="D16" t="str">
            <v>S&amp;P/ASX 200 A-REITs</v>
          </cell>
          <cell r="E16" t="str">
            <v>LEP</v>
          </cell>
          <cell r="F16">
            <v>37937</v>
          </cell>
          <cell r="G16">
            <v>1094349157.2</v>
          </cell>
          <cell r="H16">
            <v>6335819.7550000008</v>
          </cell>
          <cell r="I16">
            <v>2199</v>
          </cell>
          <cell r="J16">
            <v>1096306848</v>
          </cell>
          <cell r="K16">
            <v>1096306848</v>
          </cell>
          <cell r="L16">
            <v>-1957690.7999999523</v>
          </cell>
        </row>
        <row r="17">
          <cell r="A17" t="str">
            <v>IOF</v>
          </cell>
          <cell r="B17" t="str">
            <v>Investa Office Fund</v>
          </cell>
          <cell r="C17" t="str">
            <v>Property - Australia</v>
          </cell>
          <cell r="D17" t="str">
            <v>S&amp;P/ASX 200 A-REITs</v>
          </cell>
          <cell r="E17" t="str">
            <v>IOF</v>
          </cell>
          <cell r="F17">
            <v>36530</v>
          </cell>
          <cell r="G17">
            <v>3129731291.5500002</v>
          </cell>
          <cell r="H17">
            <v>496053392.06060004</v>
          </cell>
          <cell r="I17">
            <v>59733</v>
          </cell>
          <cell r="J17">
            <v>3022015874.25</v>
          </cell>
          <cell r="K17">
            <v>3022015874.25</v>
          </cell>
          <cell r="L17">
            <v>107715417.30000019</v>
          </cell>
        </row>
        <row r="18">
          <cell r="A18" t="str">
            <v>INA</v>
          </cell>
          <cell r="B18" t="str">
            <v>Ingenia Communities Group</v>
          </cell>
          <cell r="C18" t="str">
            <v>Property - Australia</v>
          </cell>
          <cell r="D18" t="str">
            <v>S&amp;P/ASX 200 A-REITs</v>
          </cell>
          <cell r="E18" t="str">
            <v>INA</v>
          </cell>
          <cell r="F18">
            <v>38169</v>
          </cell>
          <cell r="G18">
            <v>640922229.63999999</v>
          </cell>
          <cell r="H18">
            <v>65057133.924799986</v>
          </cell>
          <cell r="I18">
            <v>12578</v>
          </cell>
          <cell r="J18">
            <v>557685576.44000006</v>
          </cell>
          <cell r="K18">
            <v>557685576.44000006</v>
          </cell>
          <cell r="L18">
            <v>83236653.199999928</v>
          </cell>
        </row>
        <row r="19">
          <cell r="A19" t="str">
            <v>IDR</v>
          </cell>
          <cell r="B19" t="str">
            <v>Industria REIT</v>
          </cell>
          <cell r="C19" t="str">
            <v>Property - Australia</v>
          </cell>
          <cell r="D19" t="str">
            <v>S&amp;P/ASX 200 A-REITs</v>
          </cell>
          <cell r="E19" t="str">
            <v>IDR</v>
          </cell>
          <cell r="F19">
            <v>41611</v>
          </cell>
          <cell r="G19">
            <v>431525318.94999999</v>
          </cell>
          <cell r="H19">
            <v>11571198.517999999</v>
          </cell>
          <cell r="I19">
            <v>4502</v>
          </cell>
          <cell r="J19">
            <v>413612947.22000003</v>
          </cell>
          <cell r="K19">
            <v>413612947.22000003</v>
          </cell>
          <cell r="L19">
            <v>17912371.729999959</v>
          </cell>
        </row>
        <row r="20">
          <cell r="A20" t="str">
            <v>HPI</v>
          </cell>
          <cell r="B20" t="str">
            <v>Hotel Property Investments</v>
          </cell>
          <cell r="C20" t="str">
            <v>Property - Australia</v>
          </cell>
          <cell r="D20" t="str">
            <v>S&amp;P/ASX 200 A-REITs</v>
          </cell>
          <cell r="E20" t="str">
            <v>HPI</v>
          </cell>
          <cell r="F20">
            <v>41618</v>
          </cell>
          <cell r="G20">
            <v>461693187.24000001</v>
          </cell>
          <cell r="H20">
            <v>12462786.187600002</v>
          </cell>
          <cell r="I20">
            <v>11611</v>
          </cell>
          <cell r="J20">
            <v>474842676.75</v>
          </cell>
          <cell r="K20">
            <v>474842676.75</v>
          </cell>
          <cell r="L20">
            <v>-13149489.50999999</v>
          </cell>
        </row>
        <row r="21">
          <cell r="A21" t="str">
            <v>GPT</v>
          </cell>
          <cell r="B21" t="str">
            <v>GPT Group</v>
          </cell>
          <cell r="C21" t="str">
            <v>Property - Australia</v>
          </cell>
          <cell r="D21" t="str">
            <v>S&amp;P/ASX 200 A-REITs</v>
          </cell>
          <cell r="E21" t="str">
            <v>GPT</v>
          </cell>
          <cell r="F21">
            <v>26024</v>
          </cell>
          <cell r="G21">
            <v>9132745555.5599995</v>
          </cell>
          <cell r="H21">
            <v>632508455.62029994</v>
          </cell>
          <cell r="I21">
            <v>100224</v>
          </cell>
          <cell r="J21">
            <v>9078598842.7800007</v>
          </cell>
          <cell r="K21">
            <v>9078598842.7800007</v>
          </cell>
          <cell r="L21">
            <v>54146712.779998779</v>
          </cell>
        </row>
        <row r="22">
          <cell r="A22" t="str">
            <v>GOZ</v>
          </cell>
          <cell r="B22" t="str">
            <v>Growthpoint Properties Australia</v>
          </cell>
          <cell r="C22" t="str">
            <v>Property - Australia</v>
          </cell>
          <cell r="D22" t="str">
            <v>S&amp;P/ASX 200 A-REITs</v>
          </cell>
          <cell r="E22" t="str">
            <v>GOZ</v>
          </cell>
          <cell r="F22">
            <v>39267</v>
          </cell>
          <cell r="G22">
            <v>2438137568.48</v>
          </cell>
          <cell r="H22">
            <v>60387732.641399994</v>
          </cell>
          <cell r="I22">
            <v>31608</v>
          </cell>
          <cell r="J22">
            <v>2397614506.4000001</v>
          </cell>
          <cell r="K22">
            <v>2397614506.4000001</v>
          </cell>
          <cell r="L22">
            <v>40523062.079999924</v>
          </cell>
        </row>
        <row r="23">
          <cell r="A23" t="str">
            <v>GMG</v>
          </cell>
          <cell r="B23" t="str">
            <v>Goodman Group</v>
          </cell>
          <cell r="C23" t="str">
            <v>Property - Australia</v>
          </cell>
          <cell r="D23" t="str">
            <v>S&amp;P/ASX 200 A-REITs</v>
          </cell>
          <cell r="E23" t="str">
            <v>GMG</v>
          </cell>
          <cell r="F23">
            <v>38385</v>
          </cell>
          <cell r="G23">
            <v>17323348496.739998</v>
          </cell>
          <cell r="H23">
            <v>1174111481.4293516</v>
          </cell>
          <cell r="I23">
            <v>189071</v>
          </cell>
          <cell r="J23">
            <v>16819134611.18</v>
          </cell>
          <cell r="K23">
            <v>16819134611.18</v>
          </cell>
          <cell r="L23">
            <v>504213885.55999756</v>
          </cell>
        </row>
        <row r="24">
          <cell r="A24" t="str">
            <v>GDI</v>
          </cell>
          <cell r="B24" t="str">
            <v>GDI Property Group</v>
          </cell>
          <cell r="C24" t="str">
            <v>Property - Australia</v>
          </cell>
          <cell r="D24" t="str">
            <v>S&amp;P/ASX 200 A-REITs</v>
          </cell>
          <cell r="E24" t="str">
            <v>GDI</v>
          </cell>
          <cell r="F24">
            <v>41625</v>
          </cell>
          <cell r="G24">
            <v>692298360.84000003</v>
          </cell>
          <cell r="H24">
            <v>22150719.407700002</v>
          </cell>
          <cell r="I24">
            <v>23676</v>
          </cell>
          <cell r="J24">
            <v>705714995.74000001</v>
          </cell>
          <cell r="K24">
            <v>705714995.74000001</v>
          </cell>
          <cell r="L24">
            <v>-13416634.899999976</v>
          </cell>
        </row>
        <row r="25">
          <cell r="A25" t="str">
            <v>GDF</v>
          </cell>
          <cell r="B25" t="str">
            <v>Garda Diversified Property Fund</v>
          </cell>
          <cell r="C25" t="str">
            <v>Property - Australia</v>
          </cell>
          <cell r="D25" t="str">
            <v>S&amp;P/ASX 200 A-REITs</v>
          </cell>
          <cell r="E25" t="str">
            <v>GDF</v>
          </cell>
          <cell r="F25">
            <v>42187</v>
          </cell>
          <cell r="G25">
            <v>161287952.00999999</v>
          </cell>
          <cell r="H25">
            <v>1236069.8950000003</v>
          </cell>
          <cell r="I25">
            <v>316</v>
          </cell>
          <cell r="J25">
            <v>164749066.85999998</v>
          </cell>
          <cell r="K25">
            <v>164749066.85999998</v>
          </cell>
          <cell r="L25">
            <v>-3461114.849999994</v>
          </cell>
        </row>
        <row r="26">
          <cell r="A26" t="str">
            <v>FET</v>
          </cell>
          <cell r="B26" t="str">
            <v>Folkestone Education Trust</v>
          </cell>
          <cell r="C26" t="str">
            <v>Property - Australia</v>
          </cell>
          <cell r="D26" t="str">
            <v>S&amp;P/ASX 200 A-REITs</v>
          </cell>
          <cell r="E26" t="str">
            <v>FET</v>
          </cell>
          <cell r="F26">
            <v>37763</v>
          </cell>
          <cell r="G26">
            <v>687977549.84000003</v>
          </cell>
          <cell r="H26">
            <v>31398124.314399999</v>
          </cell>
          <cell r="I26">
            <v>29362</v>
          </cell>
          <cell r="J26">
            <v>672632325.67999995</v>
          </cell>
          <cell r="K26">
            <v>672632325.67999995</v>
          </cell>
          <cell r="L26">
            <v>15345224.160000086</v>
          </cell>
        </row>
        <row r="27">
          <cell r="A27" t="str">
            <v>ERF</v>
          </cell>
          <cell r="B27" t="str">
            <v>Elanor Retail Property Fund</v>
          </cell>
          <cell r="C27" t="str">
            <v>Property - Australia</v>
          </cell>
          <cell r="D27" t="str">
            <v>S&amp;P/ASX 200 A-REITs</v>
          </cell>
          <cell r="E27" t="str">
            <v>ERF</v>
          </cell>
          <cell r="F27">
            <v>42683</v>
          </cell>
          <cell r="G27">
            <v>160912193.75</v>
          </cell>
          <cell r="H27">
            <v>562075.53499999992</v>
          </cell>
          <cell r="I27">
            <v>96</v>
          </cell>
          <cell r="J27">
            <v>167348681.5</v>
          </cell>
          <cell r="K27">
            <v>167348681.5</v>
          </cell>
          <cell r="L27">
            <v>-6436487.75</v>
          </cell>
        </row>
        <row r="28">
          <cell r="A28" t="str">
            <v>DXS</v>
          </cell>
          <cell r="B28" t="str">
            <v>Dexus</v>
          </cell>
          <cell r="C28" t="str">
            <v>Property - Australia</v>
          </cell>
          <cell r="D28" t="str">
            <v>S&amp;P/ASX 200 A-REITs</v>
          </cell>
          <cell r="E28" t="str">
            <v>DXS</v>
          </cell>
          <cell r="F28">
            <v>38266</v>
          </cell>
          <cell r="G28">
            <v>9876981675.6700001</v>
          </cell>
          <cell r="H28">
            <v>728986452.47989988</v>
          </cell>
          <cell r="I28">
            <v>149711</v>
          </cell>
          <cell r="J28">
            <v>10060077113.530001</v>
          </cell>
          <cell r="K28">
            <v>10060077113.530001</v>
          </cell>
          <cell r="L28">
            <v>-183095437.86000061</v>
          </cell>
        </row>
        <row r="29">
          <cell r="A29" t="str">
            <v>CQR</v>
          </cell>
          <cell r="B29" t="str">
            <v>Charter Hall Retail REIT</v>
          </cell>
          <cell r="C29" t="str">
            <v>Property - Australia</v>
          </cell>
          <cell r="D29" t="str">
            <v>S&amp;P/ASX 200 A-REITs</v>
          </cell>
          <cell r="E29" t="str">
            <v>CQR</v>
          </cell>
          <cell r="F29">
            <v>35384</v>
          </cell>
          <cell r="G29">
            <v>1687453381.7600002</v>
          </cell>
          <cell r="H29">
            <v>125040752.68969996</v>
          </cell>
          <cell r="I29">
            <v>45032</v>
          </cell>
          <cell r="J29">
            <v>1699535386.8799999</v>
          </cell>
          <cell r="K29">
            <v>1699535386.8799999</v>
          </cell>
          <cell r="L29">
            <v>-12082005.119999647</v>
          </cell>
        </row>
        <row r="30">
          <cell r="A30" t="str">
            <v>CMW</v>
          </cell>
          <cell r="B30" t="str">
            <v>Cromwell Property Group</v>
          </cell>
          <cell r="C30" t="str">
            <v>Property - Australia</v>
          </cell>
          <cell r="D30" t="str">
            <v>S&amp;P/ASX 200 A-REITs</v>
          </cell>
          <cell r="E30" t="str">
            <v>CMW</v>
          </cell>
          <cell r="F30">
            <v>26717</v>
          </cell>
          <cell r="G30">
            <v>2223563634.8800001</v>
          </cell>
          <cell r="H30">
            <v>117665557.70779999</v>
          </cell>
          <cell r="I30">
            <v>33723</v>
          </cell>
          <cell r="J30">
            <v>2154077271.29</v>
          </cell>
          <cell r="K30">
            <v>2154077271.29</v>
          </cell>
          <cell r="L30">
            <v>69486363.590000153</v>
          </cell>
        </row>
        <row r="31">
          <cell r="A31" t="str">
            <v>CMA</v>
          </cell>
          <cell r="B31" t="str">
            <v>Centuria Metropolitan REIT</v>
          </cell>
          <cell r="C31" t="str">
            <v>Property - Australia</v>
          </cell>
          <cell r="D31" t="str">
            <v>S&amp;P/ASX 200 A-REITs</v>
          </cell>
          <cell r="E31" t="str">
            <v>CMA</v>
          </cell>
          <cell r="F31">
            <v>41983</v>
          </cell>
          <cell r="G31">
            <v>602124571.67999995</v>
          </cell>
          <cell r="H31">
            <v>6589821.0766999992</v>
          </cell>
          <cell r="I31">
            <v>5236</v>
          </cell>
          <cell r="J31">
            <v>577845355.07999992</v>
          </cell>
          <cell r="K31">
            <v>577845355.07999992</v>
          </cell>
          <cell r="L31">
            <v>24279216.600000024</v>
          </cell>
        </row>
        <row r="32">
          <cell r="A32" t="str">
            <v>URW</v>
          </cell>
          <cell r="B32" t="str">
            <v>Unibail-Rodamco-Westfield</v>
          </cell>
          <cell r="C32" t="str">
            <v>Property - Global</v>
          </cell>
          <cell r="D32" t="str">
            <v>S&amp;P/ASX 200 A-REITs</v>
          </cell>
          <cell r="E32" t="str">
            <v>URW</v>
          </cell>
          <cell r="F32">
            <v>43251</v>
          </cell>
          <cell r="G32">
            <v>9707063596.2000008</v>
          </cell>
          <cell r="H32">
            <v>1154434885.8478107</v>
          </cell>
          <cell r="I32">
            <v>135267</v>
          </cell>
          <cell r="J32">
            <v>10201872783.6</v>
          </cell>
          <cell r="K32">
            <v>10201872783.6</v>
          </cell>
          <cell r="L32">
            <v>-494809187.39999962</v>
          </cell>
        </row>
        <row r="33">
          <cell r="A33" t="str">
            <v>CRR</v>
          </cell>
          <cell r="B33" t="str">
            <v>Convenience Retail REIT</v>
          </cell>
          <cell r="C33" t="str">
            <v>Property - Australia</v>
          </cell>
          <cell r="D33" t="str">
            <v>S&amp;P/ASX 200 A-REITs</v>
          </cell>
          <cell r="E33" t="str">
            <v>CRR</v>
          </cell>
          <cell r="F33">
            <v>42943</v>
          </cell>
          <cell r="G33">
            <v>213873338.21000001</v>
          </cell>
          <cell r="H33">
            <v>6129832.5999999987</v>
          </cell>
          <cell r="I33">
            <v>1002</v>
          </cell>
          <cell r="J33">
            <v>213873338.21000001</v>
          </cell>
          <cell r="K33">
            <v>213873338.21000001</v>
          </cell>
          <cell r="L33">
            <v>0</v>
          </cell>
        </row>
        <row r="34">
          <cell r="A34" t="str">
            <v>CLW</v>
          </cell>
          <cell r="B34" t="str">
            <v>Charter Hall Long Wale REIT</v>
          </cell>
          <cell r="C34" t="str">
            <v>Property - Australia</v>
          </cell>
          <cell r="D34" t="str">
            <v>S&amp;P/ASX 200 A-REITs</v>
          </cell>
          <cell r="E34" t="str">
            <v>CLW</v>
          </cell>
          <cell r="F34">
            <v>42682</v>
          </cell>
          <cell r="G34">
            <v>1022120624.8000001</v>
          </cell>
          <cell r="H34">
            <v>67735661.582999974</v>
          </cell>
          <cell r="I34">
            <v>29543</v>
          </cell>
          <cell r="J34">
            <v>975660596.4000001</v>
          </cell>
          <cell r="K34">
            <v>975660596.4000001</v>
          </cell>
          <cell r="L34">
            <v>46460028.399999976</v>
          </cell>
        </row>
        <row r="35">
          <cell r="A35" t="str">
            <v>CHC</v>
          </cell>
          <cell r="B35" t="str">
            <v>Charter Hall Group</v>
          </cell>
          <cell r="C35" t="str">
            <v>Property - Australia</v>
          </cell>
          <cell r="D35" t="str">
            <v>S&amp;P/ASX 200 A-REITs</v>
          </cell>
          <cell r="E35" t="str">
            <v>CHC</v>
          </cell>
          <cell r="F35">
            <v>38883</v>
          </cell>
          <cell r="G35">
            <v>3036866894.1199999</v>
          </cell>
          <cell r="H35">
            <v>238900793.01740003</v>
          </cell>
          <cell r="I35">
            <v>78920</v>
          </cell>
          <cell r="J35">
            <v>2967000324.4700003</v>
          </cell>
          <cell r="K35">
            <v>2967000324.4700003</v>
          </cell>
          <cell r="L35">
            <v>69866569.649999619</v>
          </cell>
        </row>
        <row r="36">
          <cell r="A36" t="str">
            <v>CDP</v>
          </cell>
          <cell r="B36" t="str">
            <v>Carindale Property Trust</v>
          </cell>
          <cell r="C36" t="str">
            <v>Property - Australia</v>
          </cell>
          <cell r="D36" t="str">
            <v>S&amp;P/ASX 200 A-REITs</v>
          </cell>
          <cell r="E36" t="str">
            <v>CDP</v>
          </cell>
          <cell r="F36">
            <v>36328</v>
          </cell>
          <cell r="G36">
            <v>570500000</v>
          </cell>
          <cell r="H36">
            <v>5580358.5800000019</v>
          </cell>
          <cell r="I36">
            <v>700</v>
          </cell>
          <cell r="J36">
            <v>535500000</v>
          </cell>
          <cell r="K36">
            <v>535500000</v>
          </cell>
          <cell r="L36">
            <v>35000000</v>
          </cell>
        </row>
        <row r="37">
          <cell r="A37" t="str">
            <v>BWR</v>
          </cell>
          <cell r="B37" t="str">
            <v>Blackwall Property Trust</v>
          </cell>
          <cell r="C37" t="str">
            <v>Property - Australia</v>
          </cell>
          <cell r="D37" t="str">
            <v>S&amp;P/ASX 200 A-REITs</v>
          </cell>
          <cell r="E37" t="str">
            <v>BWR</v>
          </cell>
          <cell r="F37">
            <v>40844</v>
          </cell>
          <cell r="G37">
            <v>96621298.099999994</v>
          </cell>
          <cell r="H37">
            <v>230483.79</v>
          </cell>
          <cell r="I37">
            <v>40</v>
          </cell>
          <cell r="J37">
            <v>93289529.199999988</v>
          </cell>
          <cell r="K37">
            <v>93289529.199999988</v>
          </cell>
          <cell r="L37">
            <v>3331768.900000006</v>
          </cell>
        </row>
        <row r="38">
          <cell r="A38" t="str">
            <v>PLG</v>
          </cell>
          <cell r="B38" t="str">
            <v>Propertylink Group</v>
          </cell>
          <cell r="C38" t="str">
            <v>Property - Australia</v>
          </cell>
          <cell r="D38" t="str">
            <v>S&amp;P/ASX 200 A-REITs</v>
          </cell>
          <cell r="E38" t="str">
            <v>PLG</v>
          </cell>
          <cell r="F38">
            <v>42587</v>
          </cell>
          <cell r="G38">
            <v>638947148.74000001</v>
          </cell>
          <cell r="H38">
            <v>12149441.624999998</v>
          </cell>
          <cell r="I38">
            <v>11079</v>
          </cell>
          <cell r="J38">
            <v>629905443.80499995</v>
          </cell>
          <cell r="K38">
            <v>629905443.80499995</v>
          </cell>
          <cell r="L38">
            <v>9041704.935000062</v>
          </cell>
        </row>
        <row r="39">
          <cell r="A39" t="str">
            <v>BWP</v>
          </cell>
          <cell r="B39" t="str">
            <v>BWP Trust</v>
          </cell>
          <cell r="C39" t="str">
            <v>Property - Australia</v>
          </cell>
          <cell r="D39" t="str">
            <v>S&amp;P/ASX 200 A-REITs</v>
          </cell>
          <cell r="E39" t="str">
            <v>BWP</v>
          </cell>
          <cell r="F39">
            <v>36054</v>
          </cell>
          <cell r="G39">
            <v>2087747359.75</v>
          </cell>
          <cell r="H39">
            <v>124988172.91079997</v>
          </cell>
          <cell r="I39">
            <v>45437</v>
          </cell>
          <cell r="J39">
            <v>2055628169.6000001</v>
          </cell>
          <cell r="K39">
            <v>2055628169.6000001</v>
          </cell>
          <cell r="L39">
            <v>32119190.149999857</v>
          </cell>
        </row>
        <row r="40">
          <cell r="A40" t="str">
            <v>BWF</v>
          </cell>
          <cell r="B40" t="str">
            <v>Blackwall Limited</v>
          </cell>
          <cell r="C40" t="str">
            <v>Property - Australia</v>
          </cell>
          <cell r="D40" t="str">
            <v>S&amp;P/ASX 200 A-REITs</v>
          </cell>
          <cell r="E40" t="str">
            <v>BWF</v>
          </cell>
          <cell r="F40">
            <v>40837</v>
          </cell>
          <cell r="G40">
            <v>57988422.75</v>
          </cell>
          <cell r="H40">
            <v>141002.37500000003</v>
          </cell>
          <cell r="I40">
            <v>49</v>
          </cell>
          <cell r="J40">
            <v>56697058.299999997</v>
          </cell>
          <cell r="K40">
            <v>56697058.299999997</v>
          </cell>
          <cell r="L40">
            <v>1291364.450000003</v>
          </cell>
        </row>
        <row r="41">
          <cell r="A41" t="str">
            <v>AVN</v>
          </cell>
          <cell r="B41" t="str">
            <v>Aventus Retail Property Fund</v>
          </cell>
          <cell r="C41" t="str">
            <v>Property - Australia</v>
          </cell>
          <cell r="D41" t="str">
            <v>S&amp;P/ASX 200 A-REITs</v>
          </cell>
          <cell r="E41" t="str">
            <v>AVN</v>
          </cell>
          <cell r="F41">
            <v>42293</v>
          </cell>
          <cell r="G41">
            <v>1106950320</v>
          </cell>
          <cell r="H41">
            <v>24476760.703099992</v>
          </cell>
          <cell r="I41">
            <v>13176</v>
          </cell>
          <cell r="J41">
            <v>1100864143.73</v>
          </cell>
          <cell r="K41">
            <v>1100864143.73</v>
          </cell>
          <cell r="L41">
            <v>6086176.2699999809</v>
          </cell>
        </row>
        <row r="42">
          <cell r="A42" t="str">
            <v>ATT</v>
          </cell>
          <cell r="B42" t="str">
            <v>Ante Real Estate Trust</v>
          </cell>
          <cell r="C42" t="str">
            <v>Property - Global</v>
          </cell>
          <cell r="D42" t="str">
            <v>S&amp;P/ASX 200 A-REITs</v>
          </cell>
          <cell r="E42" t="str">
            <v>ATT</v>
          </cell>
          <cell r="F42">
            <v>38674</v>
          </cell>
          <cell r="G42">
            <v>631722.48</v>
          </cell>
          <cell r="H42">
            <v>2280.145</v>
          </cell>
          <cell r="I42">
            <v>12</v>
          </cell>
          <cell r="J42">
            <v>46326.32</v>
          </cell>
          <cell r="K42">
            <v>46326.32</v>
          </cell>
          <cell r="L42">
            <v>585396.16</v>
          </cell>
        </row>
        <row r="43">
          <cell r="A43" t="str">
            <v>ARF</v>
          </cell>
          <cell r="B43" t="str">
            <v>Arena REIT.</v>
          </cell>
          <cell r="C43" t="str">
            <v>Property - Australia</v>
          </cell>
          <cell r="D43" t="str">
            <v>S&amp;P/ASX 200 A-REITs</v>
          </cell>
          <cell r="E43" t="str">
            <v>ARF</v>
          </cell>
          <cell r="F43">
            <v>41438</v>
          </cell>
          <cell r="G43">
            <v>579104589.79999995</v>
          </cell>
          <cell r="H43">
            <v>16859909.6351</v>
          </cell>
          <cell r="I43">
            <v>11154</v>
          </cell>
          <cell r="J43">
            <v>589878628.67999995</v>
          </cell>
          <cell r="K43">
            <v>589878628.67999995</v>
          </cell>
          <cell r="L43">
            <v>-10774038.879999995</v>
          </cell>
        </row>
        <row r="44">
          <cell r="A44" t="str">
            <v>APZ</v>
          </cell>
          <cell r="B44" t="str">
            <v>Aspen Group</v>
          </cell>
          <cell r="C44" t="str">
            <v>Property - Australia</v>
          </cell>
          <cell r="D44" t="str">
            <v>S&amp;P/ASX 200 A-REITs</v>
          </cell>
          <cell r="E44" t="str">
            <v>APZ</v>
          </cell>
          <cell r="F44">
            <v>33339</v>
          </cell>
          <cell r="G44">
            <v>94175515.274999991</v>
          </cell>
          <cell r="H44">
            <v>2675942.3825000003</v>
          </cell>
          <cell r="I44">
            <v>574</v>
          </cell>
          <cell r="J44">
            <v>91710187.650000006</v>
          </cell>
          <cell r="K44">
            <v>91710187.650000006</v>
          </cell>
          <cell r="L44">
            <v>2465327.6249999851</v>
          </cell>
        </row>
        <row r="45">
          <cell r="A45" t="str">
            <v>APW</v>
          </cell>
          <cell r="B45" t="str">
            <v>Aims Property Securities Fund</v>
          </cell>
          <cell r="C45" t="str">
            <v>Property - Australia</v>
          </cell>
          <cell r="D45" t="str">
            <v>S&amp;P/ASX 200 A-REITs</v>
          </cell>
          <cell r="E45" t="str">
            <v>APW</v>
          </cell>
          <cell r="F45">
            <v>38338</v>
          </cell>
          <cell r="G45">
            <v>70291681.424999997</v>
          </cell>
          <cell r="H45">
            <v>292638.68</v>
          </cell>
          <cell r="I45">
            <v>29</v>
          </cell>
          <cell r="J45">
            <v>73192607.959999993</v>
          </cell>
          <cell r="K45">
            <v>73192607.959999993</v>
          </cell>
          <cell r="L45">
            <v>-2900926.5349999964</v>
          </cell>
        </row>
        <row r="46">
          <cell r="A46" t="str">
            <v>AOF</v>
          </cell>
          <cell r="B46" t="str">
            <v>Australian Unity Office Fund</v>
          </cell>
          <cell r="C46" t="str">
            <v>Property - Australia</v>
          </cell>
          <cell r="D46" t="str">
            <v>S&amp;P/ASX 200 A-REITs</v>
          </cell>
          <cell r="E46" t="str">
            <v>AOF</v>
          </cell>
          <cell r="F46">
            <v>42541</v>
          </cell>
          <cell r="G46">
            <v>407079880</v>
          </cell>
          <cell r="H46">
            <v>11739277.794999998</v>
          </cell>
          <cell r="I46">
            <v>1680</v>
          </cell>
          <cell r="J46">
            <v>385911726.24000001</v>
          </cell>
          <cell r="K46">
            <v>385911726.24000001</v>
          </cell>
          <cell r="L46">
            <v>21168153.75999999</v>
          </cell>
        </row>
        <row r="47">
          <cell r="A47" t="str">
            <v>AJD</v>
          </cell>
          <cell r="B47" t="str">
            <v>Asia Pacific Data Centre Group</v>
          </cell>
          <cell r="C47" t="str">
            <v>Property - Australia</v>
          </cell>
          <cell r="D47" t="str">
            <v>S&amp;P/ASX 200 A-REITs</v>
          </cell>
          <cell r="E47" t="str">
            <v>AJD</v>
          </cell>
          <cell r="F47">
            <v>41396</v>
          </cell>
          <cell r="G47">
            <v>220800192</v>
          </cell>
          <cell r="H47">
            <v>502071.35000000009</v>
          </cell>
          <cell r="I47">
            <v>75</v>
          </cell>
          <cell r="J47">
            <v>207000180</v>
          </cell>
          <cell r="K47">
            <v>207000180</v>
          </cell>
          <cell r="L47">
            <v>13800012</v>
          </cell>
        </row>
        <row r="48">
          <cell r="A48" t="str">
            <v>AGJ</v>
          </cell>
          <cell r="B48" t="str">
            <v>Agricultural Land Trust</v>
          </cell>
          <cell r="C48" t="str">
            <v>Property - Australia</v>
          </cell>
          <cell r="D48" t="str">
            <v>S&amp;P/ASX 200 A-REITs</v>
          </cell>
          <cell r="E48" t="str">
            <v>AGJ</v>
          </cell>
          <cell r="F48">
            <v>37721</v>
          </cell>
          <cell r="G48">
            <v>3217831.1880000001</v>
          </cell>
          <cell r="H48">
            <v>4474.2919999999995</v>
          </cell>
          <cell r="I48">
            <v>3</v>
          </cell>
          <cell r="J48">
            <v>4095421.5120000001</v>
          </cell>
          <cell r="K48">
            <v>4095421.5120000001</v>
          </cell>
          <cell r="L48">
            <v>-877590.32400000002</v>
          </cell>
        </row>
        <row r="49">
          <cell r="A49" t="str">
            <v>ABP</v>
          </cell>
          <cell r="B49" t="str">
            <v>Abacus Property Group</v>
          </cell>
          <cell r="C49" t="str">
            <v>Property - Australia</v>
          </cell>
          <cell r="D49" t="str">
            <v>S&amp;P/ASX 200 A-REITs</v>
          </cell>
          <cell r="E49" t="str">
            <v>ABP</v>
          </cell>
          <cell r="F49">
            <v>37574</v>
          </cell>
          <cell r="G49">
            <v>2184196764.4900002</v>
          </cell>
          <cell r="H49">
            <v>78614463.979099989</v>
          </cell>
          <cell r="I49">
            <v>45703</v>
          </cell>
          <cell r="J49">
            <v>2224752142.0799999</v>
          </cell>
          <cell r="K49">
            <v>2224752142.0799999</v>
          </cell>
          <cell r="L49">
            <v>-40555377.589999676</v>
          </cell>
        </row>
        <row r="50">
          <cell r="A50" t="str">
            <v>TCL</v>
          </cell>
          <cell r="B50" t="str">
            <v>Transurban Group</v>
          </cell>
          <cell r="C50" t="str">
            <v>Infrastructure</v>
          </cell>
          <cell r="D50" t="str">
            <v>S&amp;P/ASX 200 Infrastructure</v>
          </cell>
          <cell r="E50" t="str">
            <v>TCL</v>
          </cell>
          <cell r="F50">
            <v>35139</v>
          </cell>
          <cell r="G50">
            <v>26629993705.140003</v>
          </cell>
          <cell r="H50">
            <v>1313398414.7800102</v>
          </cell>
          <cell r="I50">
            <v>197752</v>
          </cell>
          <cell r="J50">
            <v>26407520908.939999</v>
          </cell>
          <cell r="K50">
            <v>26407520908.939999</v>
          </cell>
          <cell r="L50">
            <v>222472796.20000458</v>
          </cell>
        </row>
        <row r="51">
          <cell r="A51" t="str">
            <v>SYD</v>
          </cell>
          <cell r="B51" t="str">
            <v>Sydney Airport</v>
          </cell>
          <cell r="C51" t="str">
            <v>Infrastructure</v>
          </cell>
          <cell r="D51" t="str">
            <v>S&amp;P/ASX 200 Infrastructure</v>
          </cell>
          <cell r="E51" t="str">
            <v>SYD</v>
          </cell>
          <cell r="F51">
            <v>37482</v>
          </cell>
          <cell r="G51">
            <v>16133006755.440001</v>
          </cell>
          <cell r="H51">
            <v>915241462.68275464</v>
          </cell>
          <cell r="I51">
            <v>136249</v>
          </cell>
          <cell r="J51">
            <v>16403392343.52</v>
          </cell>
          <cell r="K51">
            <v>16403392343.52</v>
          </cell>
          <cell r="L51">
            <v>-270385588.07999992</v>
          </cell>
        </row>
        <row r="52">
          <cell r="A52" t="str">
            <v>SKI</v>
          </cell>
          <cell r="B52" t="str">
            <v>Spark Infrastructure Group</v>
          </cell>
          <cell r="C52" t="str">
            <v>Infrastructure</v>
          </cell>
          <cell r="D52" t="str">
            <v>S&amp;P/ASX 200 Infrastructure</v>
          </cell>
          <cell r="E52" t="str">
            <v>SKI</v>
          </cell>
          <cell r="F52">
            <v>39142</v>
          </cell>
          <cell r="G52">
            <v>3834985029.8399997</v>
          </cell>
          <cell r="H52">
            <v>274002564.5650388</v>
          </cell>
          <cell r="I52">
            <v>50590</v>
          </cell>
          <cell r="J52">
            <v>3700424151.6000004</v>
          </cell>
          <cell r="K52">
            <v>3700424151.6000004</v>
          </cell>
          <cell r="L52">
            <v>134560878.23999929</v>
          </cell>
        </row>
        <row r="53">
          <cell r="A53" t="str">
            <v>ALX</v>
          </cell>
          <cell r="B53" t="str">
            <v>Atlas Arteria</v>
          </cell>
          <cell r="C53" t="str">
            <v>Infrastructure</v>
          </cell>
          <cell r="D53" t="str">
            <v>S&amp;P/ASX 200 Infrastructure</v>
          </cell>
          <cell r="E53" t="str">
            <v>ALX</v>
          </cell>
          <cell r="F53">
            <v>40203</v>
          </cell>
          <cell r="G53">
            <v>4306740472.9499998</v>
          </cell>
          <cell r="H53">
            <v>483932004.76510006</v>
          </cell>
          <cell r="I53">
            <v>110967</v>
          </cell>
          <cell r="J53">
            <v>4454093957.25</v>
          </cell>
          <cell r="K53">
            <v>4454093957.25</v>
          </cell>
          <cell r="L53">
            <v>-147353484.30000019</v>
          </cell>
        </row>
        <row r="54">
          <cell r="A54" t="str">
            <v>IFN</v>
          </cell>
          <cell r="B54" t="str">
            <v>Infigen Energy</v>
          </cell>
          <cell r="C54" t="str">
            <v>Infrastructure</v>
          </cell>
          <cell r="D54" t="str">
            <v>S&amp;P/ASX 200 Infrastructure</v>
          </cell>
          <cell r="E54" t="str">
            <v>IFN</v>
          </cell>
          <cell r="F54">
            <v>38653</v>
          </cell>
          <cell r="G54">
            <v>629679715.5</v>
          </cell>
          <cell r="H54">
            <v>33337120.449000005</v>
          </cell>
          <cell r="I54">
            <v>18398</v>
          </cell>
          <cell r="J54">
            <v>710774830.375</v>
          </cell>
          <cell r="K54">
            <v>710774830.375</v>
          </cell>
          <cell r="L54">
            <v>-81095114.875</v>
          </cell>
        </row>
        <row r="55">
          <cell r="A55" t="str">
            <v>AST</v>
          </cell>
          <cell r="B55" t="str">
            <v>AusNet Services Limited</v>
          </cell>
          <cell r="C55" t="str">
            <v>Infrastructure</v>
          </cell>
          <cell r="D55" t="str">
            <v>S&amp;P/ASX 200 Infrastructure</v>
          </cell>
          <cell r="E55" t="str">
            <v>AST</v>
          </cell>
          <cell r="F55">
            <v>38700</v>
          </cell>
          <cell r="G55">
            <v>5801026557.8249998</v>
          </cell>
          <cell r="H55">
            <v>291936323.91549999</v>
          </cell>
          <cell r="I55">
            <v>102959</v>
          </cell>
          <cell r="J55">
            <v>5873313493.125</v>
          </cell>
          <cell r="K55">
            <v>5873313493.125</v>
          </cell>
          <cell r="L55">
            <v>-72286935.300000191</v>
          </cell>
        </row>
        <row r="56">
          <cell r="A56" t="str">
            <v>APA</v>
          </cell>
          <cell r="B56" t="str">
            <v>APA Group</v>
          </cell>
          <cell r="C56" t="str">
            <v>Infrastructure</v>
          </cell>
          <cell r="D56" t="str">
            <v>S&amp;P/ASX 200 Infrastructure</v>
          </cell>
          <cell r="E56" t="str">
            <v>APA</v>
          </cell>
          <cell r="F56">
            <v>36690</v>
          </cell>
          <cell r="G56">
            <v>11621954402.799999</v>
          </cell>
          <cell r="H56">
            <v>1141537802.6092985</v>
          </cell>
          <cell r="I56">
            <v>190512</v>
          </cell>
          <cell r="J56">
            <v>10253277539.119999</v>
          </cell>
          <cell r="K56">
            <v>10253277539.119999</v>
          </cell>
          <cell r="L56">
            <v>1368676863.6800003</v>
          </cell>
        </row>
      </sheetData>
      <sheetData sheetId="32">
        <row r="10">
          <cell r="A10" t="str">
            <v>ASX Code</v>
          </cell>
          <cell r="B10" t="str">
            <v>IRESS Code</v>
          </cell>
          <cell r="C10" t="str">
            <v>TimeSeries: (B11:B684)</v>
          </cell>
          <cell r="D10" t="str">
            <v>Transactions</v>
          </cell>
          <cell r="E10" t="str">
            <v>CumValue</v>
          </cell>
          <cell r="F10" t="str">
            <v>ClosePrice</v>
          </cell>
        </row>
        <row r="11">
          <cell r="A11" t="str">
            <v>AAA</v>
          </cell>
          <cell r="B11" t="str">
            <v>AAA.AXW</v>
          </cell>
          <cell r="C11" t="str">
            <v>AAA.AXW</v>
          </cell>
          <cell r="D11">
            <v>2015</v>
          </cell>
          <cell r="E11">
            <v>240563708.22999996</v>
          </cell>
          <cell r="F11">
            <v>5015</v>
          </cell>
          <cell r="G11">
            <v>4799627</v>
          </cell>
          <cell r="J11" t="str">
            <v>AAA.AXW</v>
          </cell>
          <cell r="K11" t="str">
            <v>AAA</v>
          </cell>
          <cell r="L11">
            <v>2</v>
          </cell>
          <cell r="M11">
            <v>1285689166.5599999</v>
          </cell>
          <cell r="N11">
            <v>26136054</v>
          </cell>
          <cell r="O11">
            <v>40975</v>
          </cell>
          <cell r="P11" t="str">
            <v>ETF Units</v>
          </cell>
          <cell r="Q11" t="str">
            <v>Exchange Traded Fund Units Fully Paid</v>
          </cell>
          <cell r="R11" t="str">
            <v>Betashares Australian High Interest Cash ETF</v>
          </cell>
          <cell r="S11">
            <v>0</v>
          </cell>
          <cell r="T11">
            <v>101.1108</v>
          </cell>
          <cell r="U11">
            <v>5017</v>
          </cell>
          <cell r="V11">
            <v>5007</v>
          </cell>
          <cell r="X11" t="str">
            <v>AAA.AXW</v>
          </cell>
          <cell r="Y11">
            <v>5015</v>
          </cell>
          <cell r="Z11" t="str">
            <v>AAA.AXW</v>
          </cell>
          <cell r="AA11">
            <v>5017</v>
          </cell>
          <cell r="AB11" t="str">
            <v>AAA.AXW</v>
          </cell>
          <cell r="AC11">
            <v>5018</v>
          </cell>
          <cell r="AD11" t="str">
            <v>AAA.AXW</v>
          </cell>
          <cell r="AE11">
            <v>5022</v>
          </cell>
          <cell r="AF11" t="str">
            <v>AAA.AXW</v>
          </cell>
          <cell r="AG11">
            <v>5015</v>
          </cell>
        </row>
        <row r="12">
          <cell r="A12" t="str">
            <v>A200</v>
          </cell>
          <cell r="B12" t="str">
            <v>A200.AXW</v>
          </cell>
          <cell r="C12" t="str">
            <v>A200.AXW</v>
          </cell>
          <cell r="D12">
            <v>386</v>
          </cell>
          <cell r="E12">
            <v>11508828.51</v>
          </cell>
          <cell r="F12">
            <v>10328</v>
          </cell>
          <cell r="G12">
            <v>112889</v>
          </cell>
          <cell r="J12" t="str">
            <v>A200.AXW</v>
          </cell>
          <cell r="K12" t="str">
            <v>A200</v>
          </cell>
          <cell r="L12">
            <v>2</v>
          </cell>
          <cell r="M12">
            <v>49467793.899999999</v>
          </cell>
          <cell r="N12">
            <v>480130</v>
          </cell>
          <cell r="O12">
            <v>43228</v>
          </cell>
          <cell r="P12" t="str">
            <v>ETF Units</v>
          </cell>
          <cell r="Q12" t="str">
            <v>Exchange Traded Fund Units Fully Paid</v>
          </cell>
          <cell r="R12" t="str">
            <v>Betashares Australia 200 ETF</v>
          </cell>
          <cell r="S12">
            <v>0</v>
          </cell>
          <cell r="T12">
            <v>20.203199999999999</v>
          </cell>
          <cell r="U12">
            <v>10364</v>
          </cell>
          <cell r="V12">
            <v>9897</v>
          </cell>
          <cell r="X12" t="str">
            <v>A200.AXW</v>
          </cell>
          <cell r="Y12">
            <v>9917</v>
          </cell>
          <cell r="Z12" t="str">
            <v>A200.AXW</v>
          </cell>
          <cell r="AB12" t="str">
            <v>A200.AXW</v>
          </cell>
          <cell r="AD12" t="str">
            <v>A200.AXW</v>
          </cell>
          <cell r="AF12" t="str">
            <v>A200.AXW</v>
          </cell>
          <cell r="AG12">
            <v>10328</v>
          </cell>
        </row>
        <row r="13">
          <cell r="A13" t="str">
            <v>AAD</v>
          </cell>
          <cell r="B13" t="str">
            <v>AAD.ASX</v>
          </cell>
          <cell r="C13" t="str">
            <v>AAD.ASX</v>
          </cell>
          <cell r="D13">
            <v>41184</v>
          </cell>
          <cell r="E13">
            <v>76552956.094299987</v>
          </cell>
          <cell r="F13">
            <v>197.5</v>
          </cell>
          <cell r="G13">
            <v>38647173</v>
          </cell>
          <cell r="J13" t="str">
            <v>AAD.ASX</v>
          </cell>
          <cell r="K13" t="str">
            <v>AAD</v>
          </cell>
          <cell r="L13">
            <v>2</v>
          </cell>
          <cell r="M13">
            <v>832901627.25</v>
          </cell>
          <cell r="N13">
            <v>471344533</v>
          </cell>
          <cell r="O13">
            <v>35978</v>
          </cell>
          <cell r="P13" t="str">
            <v>Stapled</v>
          </cell>
          <cell r="Q13" t="str">
            <v>Ordinary/Units Fully Paid Stapled Securities</v>
          </cell>
          <cell r="R13" t="str">
            <v>Ardent Leisure Group</v>
          </cell>
          <cell r="S13">
            <v>94</v>
          </cell>
          <cell r="T13">
            <v>8.5</v>
          </cell>
          <cell r="U13">
            <v>215</v>
          </cell>
          <cell r="V13">
            <v>167</v>
          </cell>
          <cell r="X13" t="str">
            <v>AAD.ASX</v>
          </cell>
          <cell r="Y13">
            <v>200</v>
          </cell>
          <cell r="Z13" t="str">
            <v>AAD.ASX</v>
          </cell>
          <cell r="AA13">
            <v>188</v>
          </cell>
          <cell r="AB13" t="str">
            <v>AAD.ASX</v>
          </cell>
          <cell r="AC13">
            <v>217</v>
          </cell>
          <cell r="AD13" t="str">
            <v>AAD.ASX</v>
          </cell>
          <cell r="AE13">
            <v>171.5</v>
          </cell>
          <cell r="AF13" t="str">
            <v>AAD.ASX</v>
          </cell>
          <cell r="AG13">
            <v>197.5</v>
          </cell>
        </row>
        <row r="14">
          <cell r="A14" t="str">
            <v>ABP</v>
          </cell>
          <cell r="B14" t="str">
            <v>ABP.ASX</v>
          </cell>
          <cell r="C14" t="str">
            <v>ABP.ASX</v>
          </cell>
          <cell r="D14">
            <v>45703</v>
          </cell>
          <cell r="E14">
            <v>78614463.979099989</v>
          </cell>
          <cell r="F14">
            <v>377</v>
          </cell>
          <cell r="G14">
            <v>20413993</v>
          </cell>
          <cell r="J14" t="str">
            <v>ABP.ASX</v>
          </cell>
          <cell r="K14" t="str">
            <v>ABP</v>
          </cell>
          <cell r="L14">
            <v>2</v>
          </cell>
          <cell r="M14">
            <v>1234482536</v>
          </cell>
          <cell r="N14">
            <v>579362537</v>
          </cell>
          <cell r="O14">
            <v>37574</v>
          </cell>
          <cell r="P14" t="str">
            <v>Stapled</v>
          </cell>
          <cell r="Q14" t="str">
            <v>Units/Ordinary Fully Paid Stapled Securities</v>
          </cell>
          <cell r="R14" t="str">
            <v>Abacus Property Group</v>
          </cell>
          <cell r="S14">
            <v>313</v>
          </cell>
          <cell r="T14">
            <v>18</v>
          </cell>
          <cell r="U14">
            <v>426</v>
          </cell>
          <cell r="V14">
            <v>292</v>
          </cell>
          <cell r="X14" t="str">
            <v>ABP.ASX</v>
          </cell>
          <cell r="Y14">
            <v>392</v>
          </cell>
          <cell r="Z14" t="str">
            <v>ABP.ASX</v>
          </cell>
          <cell r="AA14">
            <v>324</v>
          </cell>
          <cell r="AB14" t="str">
            <v>ABP.ASX</v>
          </cell>
          <cell r="AC14">
            <v>292</v>
          </cell>
          <cell r="AD14" t="str">
            <v>ABP.ASX</v>
          </cell>
          <cell r="AE14">
            <v>226.11470192670822</v>
          </cell>
          <cell r="AF14" t="str">
            <v>ABP.ASX</v>
          </cell>
          <cell r="AG14">
            <v>377</v>
          </cell>
        </row>
        <row r="15">
          <cell r="A15" t="str">
            <v>ABW</v>
          </cell>
          <cell r="B15" t="str">
            <v>ABW.ASX</v>
          </cell>
          <cell r="C15" t="str">
            <v>ABW.ASX</v>
          </cell>
          <cell r="D15">
            <v>18</v>
          </cell>
          <cell r="E15">
            <v>39521.440000000002</v>
          </cell>
          <cell r="F15">
            <v>38</v>
          </cell>
          <cell r="G15">
            <v>100252</v>
          </cell>
          <cell r="J15" t="str">
            <v>ABW.ASX</v>
          </cell>
          <cell r="K15" t="str">
            <v>ABW</v>
          </cell>
          <cell r="L15">
            <v>2</v>
          </cell>
          <cell r="M15">
            <v>3083121.2600000002</v>
          </cell>
          <cell r="N15">
            <v>8113477</v>
          </cell>
          <cell r="O15">
            <v>38908</v>
          </cell>
          <cell r="P15" t="str">
            <v>Ord Unit</v>
          </cell>
          <cell r="Q15" t="str">
            <v>Ordinary Units Fully Paid</v>
          </cell>
          <cell r="R15" t="str">
            <v>Aurora Absolute Return Fund</v>
          </cell>
          <cell r="S15">
            <v>58</v>
          </cell>
          <cell r="T15">
            <v>2.3299999999999996</v>
          </cell>
          <cell r="U15">
            <v>59</v>
          </cell>
          <cell r="V15">
            <v>34</v>
          </cell>
          <cell r="X15" t="str">
            <v>ABW.ASX</v>
          </cell>
          <cell r="Y15">
            <v>46</v>
          </cell>
          <cell r="Z15" t="str">
            <v>ABW.ASX</v>
          </cell>
          <cell r="AA15">
            <v>40</v>
          </cell>
          <cell r="AB15" t="str">
            <v>ABW.ASX</v>
          </cell>
          <cell r="AC15">
            <v>95</v>
          </cell>
          <cell r="AD15" t="str">
            <v>ABW.ASX</v>
          </cell>
          <cell r="AE15">
            <v>105</v>
          </cell>
          <cell r="AF15" t="str">
            <v>ABW.ASX</v>
          </cell>
          <cell r="AG15">
            <v>38</v>
          </cell>
        </row>
        <row r="16">
          <cell r="A16" t="str">
            <v>CMI</v>
          </cell>
          <cell r="B16" t="str">
            <v>CMI.ASX</v>
          </cell>
          <cell r="C16" t="str">
            <v>CMI.ASX</v>
          </cell>
          <cell r="D16">
            <v>49</v>
          </cell>
          <cell r="E16">
            <v>208581.785</v>
          </cell>
          <cell r="F16">
            <v>136.5</v>
          </cell>
          <cell r="G16">
            <v>150855</v>
          </cell>
          <cell r="J16" t="str">
            <v>CMI.ASX</v>
          </cell>
          <cell r="K16" t="str">
            <v>CMI</v>
          </cell>
          <cell r="L16">
            <v>2</v>
          </cell>
          <cell r="M16">
            <v>42816461.414999999</v>
          </cell>
          <cell r="N16">
            <v>31367371</v>
          </cell>
          <cell r="O16">
            <v>34081</v>
          </cell>
          <cell r="P16" t="str">
            <v>Fpo</v>
          </cell>
          <cell r="Q16" t="str">
            <v>Ordinary Fully Paid</v>
          </cell>
          <cell r="R16" t="str">
            <v>CMI Limited</v>
          </cell>
          <cell r="S16">
            <v>122</v>
          </cell>
          <cell r="T16">
            <v>6</v>
          </cell>
          <cell r="U16">
            <v>150</v>
          </cell>
          <cell r="V16">
            <v>102</v>
          </cell>
          <cell r="X16" t="str">
            <v>CMI.ASX</v>
          </cell>
          <cell r="Y16">
            <v>136.5</v>
          </cell>
          <cell r="Z16" t="str">
            <v>CMI.ASX</v>
          </cell>
          <cell r="AA16">
            <v>103</v>
          </cell>
          <cell r="AB16" t="str">
            <v>CMI.ASX</v>
          </cell>
          <cell r="AC16">
            <v>127.34399795532227</v>
          </cell>
          <cell r="AD16" t="str">
            <v>CMI.ASX</v>
          </cell>
          <cell r="AE16">
            <v>113.41574817895889</v>
          </cell>
          <cell r="AF16" t="str">
            <v>CMI.ASX</v>
          </cell>
          <cell r="AG16">
            <v>136.5</v>
          </cell>
        </row>
        <row r="17">
          <cell r="A17" t="str">
            <v>TEK</v>
          </cell>
          <cell r="B17" t="str">
            <v>TEK.ASX</v>
          </cell>
          <cell r="C17" t="str">
            <v>TEK.ASX</v>
          </cell>
          <cell r="D17">
            <v>243</v>
          </cell>
          <cell r="E17">
            <v>1158798.3799999999</v>
          </cell>
          <cell r="F17">
            <v>24.5</v>
          </cell>
          <cell r="G17">
            <v>4495076</v>
          </cell>
          <cell r="J17" t="str">
            <v>TEK.ASX</v>
          </cell>
          <cell r="K17" t="str">
            <v>TEK</v>
          </cell>
          <cell r="L17">
            <v>2</v>
          </cell>
          <cell r="M17">
            <v>64342156.75</v>
          </cell>
          <cell r="N17">
            <v>257368627</v>
          </cell>
          <cell r="O17">
            <v>38482</v>
          </cell>
          <cell r="P17" t="str">
            <v>Fpo</v>
          </cell>
          <cell r="Q17" t="str">
            <v>Ordinary Fully Paid</v>
          </cell>
          <cell r="R17" t="str">
            <v>Thorney Technologies Ltd</v>
          </cell>
          <cell r="S17">
            <v>25</v>
          </cell>
          <cell r="U17">
            <v>39</v>
          </cell>
          <cell r="V17">
            <v>22</v>
          </cell>
          <cell r="X17" t="str">
            <v>TEK.ASX</v>
          </cell>
          <cell r="Y17">
            <v>27.500000000000004</v>
          </cell>
          <cell r="Z17" t="str">
            <v>TEK.ASX</v>
          </cell>
          <cell r="AA17">
            <v>22</v>
          </cell>
          <cell r="AB17" t="str">
            <v>TEK.ASX</v>
          </cell>
          <cell r="AC17">
            <v>3500</v>
          </cell>
          <cell r="AD17" t="str">
            <v>TEK.ASX</v>
          </cell>
          <cell r="AE17">
            <v>8000</v>
          </cell>
          <cell r="AF17" t="str">
            <v>TEK.ASX</v>
          </cell>
          <cell r="AG17">
            <v>24.5</v>
          </cell>
        </row>
        <row r="18">
          <cell r="A18" t="str">
            <v>ACQ</v>
          </cell>
          <cell r="B18" t="str">
            <v>ACQ.ASX</v>
          </cell>
          <cell r="C18" t="str">
            <v>ACQ.ASX</v>
          </cell>
          <cell r="D18">
            <v>178</v>
          </cell>
          <cell r="E18">
            <v>1496313.67</v>
          </cell>
          <cell r="F18">
            <v>114.99999999999999</v>
          </cell>
          <cell r="G18">
            <v>1310940</v>
          </cell>
          <cell r="J18" t="str">
            <v>ACQ.ASX</v>
          </cell>
          <cell r="K18" t="str">
            <v>ACQ</v>
          </cell>
          <cell r="L18">
            <v>2</v>
          </cell>
          <cell r="M18">
            <v>61145233.280000001</v>
          </cell>
          <cell r="N18">
            <v>52711408</v>
          </cell>
          <cell r="O18">
            <v>41760</v>
          </cell>
          <cell r="P18" t="str">
            <v>Fpo</v>
          </cell>
          <cell r="Q18" t="str">
            <v>Ordinary Fully Paid</v>
          </cell>
          <cell r="R18" t="str">
            <v>Acorn Capital Investment Fund Limited</v>
          </cell>
          <cell r="S18">
            <v>127</v>
          </cell>
          <cell r="T18">
            <v>4.7</v>
          </cell>
          <cell r="U18">
            <v>120</v>
          </cell>
          <cell r="V18">
            <v>90</v>
          </cell>
          <cell r="X18" t="str">
            <v>ACQ.ASX</v>
          </cell>
          <cell r="Y18">
            <v>111.5</v>
          </cell>
          <cell r="Z18" t="str">
            <v>ACQ.ASX</v>
          </cell>
          <cell r="AA18">
            <v>92</v>
          </cell>
          <cell r="AB18" t="str">
            <v>ACQ.ASX</v>
          </cell>
          <cell r="AC18">
            <v>70</v>
          </cell>
          <cell r="AD18" t="str">
            <v>ACQ.ASX</v>
          </cell>
          <cell r="AF18" t="str">
            <v>ACQ.ASX</v>
          </cell>
          <cell r="AG18">
            <v>114.99999999999999</v>
          </cell>
        </row>
        <row r="19">
          <cell r="A19" t="str">
            <v>AEG</v>
          </cell>
          <cell r="B19" t="str">
            <v>AEG.ASX</v>
          </cell>
          <cell r="C19" t="str">
            <v>AEG.ASX</v>
          </cell>
          <cell r="D19">
            <v>482</v>
          </cell>
          <cell r="E19">
            <v>5479570.9050000003</v>
          </cell>
          <cell r="F19">
            <v>116.5</v>
          </cell>
          <cell r="G19">
            <v>4826938</v>
          </cell>
          <cell r="J19" t="str">
            <v>AEG.ASX</v>
          </cell>
          <cell r="K19" t="str">
            <v>AEG</v>
          </cell>
          <cell r="L19">
            <v>2</v>
          </cell>
          <cell r="M19">
            <v>116994842.58</v>
          </cell>
          <cell r="N19">
            <v>101294236</v>
          </cell>
          <cell r="O19">
            <v>42354</v>
          </cell>
          <cell r="P19" t="str">
            <v>Fpo</v>
          </cell>
          <cell r="Q19" t="str">
            <v>Ordinary Fully Paid</v>
          </cell>
          <cell r="R19" t="str">
            <v>Absolute Equity Performance Fund Limited</v>
          </cell>
          <cell r="S19">
            <v>116</v>
          </cell>
          <cell r="T19">
            <v>4.5</v>
          </cell>
          <cell r="U19">
            <v>117</v>
          </cell>
          <cell r="V19">
            <v>100</v>
          </cell>
          <cell r="X19" t="str">
            <v>AEG.ASX</v>
          </cell>
          <cell r="Y19">
            <v>110.00000000000001</v>
          </cell>
          <cell r="Z19" t="str">
            <v>AEG.ASX</v>
          </cell>
          <cell r="AA19">
            <v>112.5</v>
          </cell>
          <cell r="AB19" t="str">
            <v>AEG.ASX</v>
          </cell>
          <cell r="AD19" t="str">
            <v>AEG.ASX</v>
          </cell>
          <cell r="AF19" t="str">
            <v>AEG.ASX</v>
          </cell>
          <cell r="AG19">
            <v>116.5</v>
          </cell>
        </row>
        <row r="20">
          <cell r="A20" t="str">
            <v>AFI</v>
          </cell>
          <cell r="B20" t="str">
            <v>AFI.ASX</v>
          </cell>
          <cell r="C20" t="str">
            <v>AFI.ASX</v>
          </cell>
          <cell r="D20">
            <v>7095</v>
          </cell>
          <cell r="E20">
            <v>59343784.624999985</v>
          </cell>
          <cell r="F20">
            <v>616</v>
          </cell>
          <cell r="G20">
            <v>9731702</v>
          </cell>
          <cell r="J20" t="str">
            <v>AFI.ASX</v>
          </cell>
          <cell r="K20" t="str">
            <v>AFI</v>
          </cell>
          <cell r="L20">
            <v>2</v>
          </cell>
          <cell r="M20">
            <v>7271078621.2200003</v>
          </cell>
          <cell r="N20">
            <v>1186146594</v>
          </cell>
          <cell r="O20">
            <v>22827</v>
          </cell>
          <cell r="P20" t="str">
            <v>Fpo</v>
          </cell>
          <cell r="Q20" t="str">
            <v>Ordinary Fully Paid</v>
          </cell>
          <cell r="R20" t="str">
            <v>Australian Foundation Investment Company Limited</v>
          </cell>
          <cell r="S20">
            <v>519</v>
          </cell>
          <cell r="T20">
            <v>24</v>
          </cell>
          <cell r="U20">
            <v>644</v>
          </cell>
          <cell r="V20">
            <v>578</v>
          </cell>
          <cell r="X20" t="str">
            <v>AFI.ASX</v>
          </cell>
          <cell r="Y20">
            <v>604</v>
          </cell>
          <cell r="Z20" t="str">
            <v>AFI.ASX</v>
          </cell>
          <cell r="AA20">
            <v>581</v>
          </cell>
          <cell r="AB20" t="str">
            <v>AFI.ASX</v>
          </cell>
          <cell r="AC20">
            <v>612</v>
          </cell>
          <cell r="AD20" t="str">
            <v>AFI.ASX</v>
          </cell>
          <cell r="AE20">
            <v>544</v>
          </cell>
          <cell r="AF20" t="str">
            <v>AFI.ASX</v>
          </cell>
          <cell r="AG20">
            <v>616</v>
          </cell>
        </row>
        <row r="21">
          <cell r="A21" t="str">
            <v>AGJ</v>
          </cell>
          <cell r="B21" t="str">
            <v>AGJ.ASX</v>
          </cell>
          <cell r="C21" t="str">
            <v>AGJ.ASX</v>
          </cell>
          <cell r="D21">
            <v>3</v>
          </cell>
          <cell r="E21">
            <v>4474.2919999999995</v>
          </cell>
          <cell r="F21">
            <v>3.2</v>
          </cell>
          <cell r="G21">
            <v>138312</v>
          </cell>
          <cell r="J21" t="str">
            <v>AGJ.ASX</v>
          </cell>
          <cell r="K21" t="str">
            <v>AGJ</v>
          </cell>
          <cell r="L21">
            <v>2</v>
          </cell>
          <cell r="M21">
            <v>3120321.1519999998</v>
          </cell>
          <cell r="N21">
            <v>97510036</v>
          </cell>
          <cell r="O21">
            <v>37721</v>
          </cell>
          <cell r="P21" t="str">
            <v>Unit</v>
          </cell>
          <cell r="Q21" t="str">
            <v>Ordinary Units Fully Paid</v>
          </cell>
          <cell r="R21" t="str">
            <v>Agricultural Land Trust</v>
          </cell>
          <cell r="S21">
            <v>10</v>
          </cell>
          <cell r="U21">
            <v>7.5</v>
          </cell>
          <cell r="V21">
            <v>3.2</v>
          </cell>
          <cell r="X21" t="str">
            <v>AGJ.ASX</v>
          </cell>
          <cell r="Y21">
            <v>4.4000000000000004</v>
          </cell>
          <cell r="Z21" t="str">
            <v>AGJ.ASX</v>
          </cell>
          <cell r="AA21">
            <v>4.4000000000000004</v>
          </cell>
          <cell r="AB21" t="str">
            <v>AGJ.ASX</v>
          </cell>
          <cell r="AC21">
            <v>8.1999999999999993</v>
          </cell>
          <cell r="AD21" t="str">
            <v>AGJ.ASX</v>
          </cell>
          <cell r="AE21">
            <v>14.000000000000002</v>
          </cell>
          <cell r="AF21" t="str">
            <v>AGJ.ASX</v>
          </cell>
          <cell r="AG21">
            <v>3.2</v>
          </cell>
        </row>
        <row r="22">
          <cell r="A22" t="str">
            <v>AGL</v>
          </cell>
          <cell r="B22" t="str">
            <v>AGL.ASX</v>
          </cell>
          <cell r="C22" t="str">
            <v>AGL.ASX</v>
          </cell>
          <cell r="D22">
            <v>266776</v>
          </cell>
          <cell r="E22">
            <v>941986234.99099982</v>
          </cell>
          <cell r="F22">
            <v>2248</v>
          </cell>
          <cell r="G22">
            <v>43643382</v>
          </cell>
          <cell r="J22" t="str">
            <v>AGL.ASX</v>
          </cell>
          <cell r="K22" t="str">
            <v>AGL</v>
          </cell>
          <cell r="L22">
            <v>2</v>
          </cell>
          <cell r="M22">
            <v>14929361990</v>
          </cell>
          <cell r="N22">
            <v>655825043</v>
          </cell>
          <cell r="O22">
            <v>39016</v>
          </cell>
          <cell r="P22" t="str">
            <v>Fpo</v>
          </cell>
          <cell r="Q22" t="str">
            <v>Ordinary Fully Paid</v>
          </cell>
          <cell r="R22" t="str">
            <v>AGL Energy Limited.</v>
          </cell>
          <cell r="S22">
            <v>695</v>
          </cell>
          <cell r="T22">
            <v>104</v>
          </cell>
          <cell r="U22">
            <v>2652</v>
          </cell>
          <cell r="V22">
            <v>2016</v>
          </cell>
          <cell r="X22" t="str">
            <v>AGL.ASX</v>
          </cell>
          <cell r="Y22">
            <v>2189</v>
          </cell>
          <cell r="Z22" t="str">
            <v>AGL.ASX</v>
          </cell>
          <cell r="AA22">
            <v>2550</v>
          </cell>
          <cell r="AB22" t="str">
            <v>AGL.ASX</v>
          </cell>
          <cell r="AC22">
            <v>1555</v>
          </cell>
          <cell r="AD22" t="str">
            <v>AGL.ASX</v>
          </cell>
          <cell r="AE22">
            <v>1392.9760179519653</v>
          </cell>
          <cell r="AF22" t="str">
            <v>AGL.ASX</v>
          </cell>
          <cell r="AG22">
            <v>2248</v>
          </cell>
        </row>
        <row r="23">
          <cell r="A23" t="str">
            <v>AIB</v>
          </cell>
          <cell r="B23" t="str">
            <v>AIB.ASX</v>
          </cell>
          <cell r="C23" t="str">
            <v>AIB.ASX</v>
          </cell>
          <cell r="D23">
            <v>29</v>
          </cell>
          <cell r="E23">
            <v>47062.664999999994</v>
          </cell>
          <cell r="F23">
            <v>29.5</v>
          </cell>
          <cell r="G23">
            <v>153141</v>
          </cell>
          <cell r="J23" t="str">
            <v>AIB.ASX</v>
          </cell>
          <cell r="K23" t="str">
            <v>AIB</v>
          </cell>
          <cell r="L23">
            <v>2</v>
          </cell>
          <cell r="M23">
            <v>2150720.5100000002</v>
          </cell>
          <cell r="N23">
            <v>7290578</v>
          </cell>
          <cell r="O23">
            <v>39440</v>
          </cell>
          <cell r="P23" t="str">
            <v>Units</v>
          </cell>
          <cell r="Q23" t="str">
            <v>Ordinary Units Fully Paid</v>
          </cell>
          <cell r="R23" t="str">
            <v>Aurora Global Income Trust</v>
          </cell>
          <cell r="S23">
            <v>46</v>
          </cell>
          <cell r="T23">
            <v>3.8299999999999996</v>
          </cell>
          <cell r="U23">
            <v>70</v>
          </cell>
          <cell r="V23">
            <v>29.5</v>
          </cell>
          <cell r="X23" t="str">
            <v>AIB.ASX</v>
          </cell>
          <cell r="Y23">
            <v>32</v>
          </cell>
          <cell r="Z23" t="str">
            <v>AIB.ASX</v>
          </cell>
          <cell r="AA23">
            <v>82</v>
          </cell>
          <cell r="AB23" t="str">
            <v>AIB.ASX</v>
          </cell>
          <cell r="AC23">
            <v>89</v>
          </cell>
          <cell r="AD23" t="str">
            <v>AIB.ASX</v>
          </cell>
          <cell r="AE23">
            <v>101.49999999999999</v>
          </cell>
          <cell r="AF23" t="str">
            <v>AIB.ASX</v>
          </cell>
          <cell r="AG23">
            <v>29.5</v>
          </cell>
        </row>
        <row r="24">
          <cell r="A24" t="str">
            <v>AIQ</v>
          </cell>
          <cell r="B24" t="str">
            <v>AIQ.ASX</v>
          </cell>
          <cell r="C24" t="str">
            <v>AIQ.ASX</v>
          </cell>
          <cell r="D24">
            <v>15</v>
          </cell>
          <cell r="E24">
            <v>4995.9719999999998</v>
          </cell>
          <cell r="F24">
            <v>8.5</v>
          </cell>
          <cell r="G24">
            <v>59458</v>
          </cell>
          <cell r="J24" t="str">
            <v>AIQ.ASX</v>
          </cell>
          <cell r="K24" t="str">
            <v>AIQ</v>
          </cell>
          <cell r="L24">
            <v>2</v>
          </cell>
          <cell r="M24">
            <v>10557423.215</v>
          </cell>
          <cell r="N24">
            <v>124204979</v>
          </cell>
          <cell r="O24">
            <v>38931</v>
          </cell>
          <cell r="P24" t="str">
            <v>Units</v>
          </cell>
          <cell r="Q24" t="str">
            <v>Ordinary Units Fully Paid</v>
          </cell>
          <cell r="R24" t="str">
            <v>Alternative Investment Trust</v>
          </cell>
          <cell r="S24">
            <v>9</v>
          </cell>
          <cell r="U24">
            <v>9.5</v>
          </cell>
          <cell r="V24">
            <v>7.5</v>
          </cell>
          <cell r="X24" t="str">
            <v>AIQ.ASX</v>
          </cell>
          <cell r="Y24">
            <v>8.4</v>
          </cell>
          <cell r="Z24" t="str">
            <v>AIQ.ASX</v>
          </cell>
          <cell r="AA24">
            <v>8</v>
          </cell>
          <cell r="AB24" t="str">
            <v>AIQ.ASX</v>
          </cell>
          <cell r="AC24">
            <v>9.775000274181366</v>
          </cell>
          <cell r="AD24" t="str">
            <v>AIQ.ASX</v>
          </cell>
          <cell r="AE24">
            <v>5.6740819296141218</v>
          </cell>
          <cell r="AF24" t="str">
            <v>AIQ.ASX</v>
          </cell>
          <cell r="AG24">
            <v>8.5</v>
          </cell>
        </row>
        <row r="25">
          <cell r="A25" t="str">
            <v>AJD</v>
          </cell>
          <cell r="B25" t="str">
            <v>AJD.ASX</v>
          </cell>
          <cell r="C25" t="str">
            <v>AJD.ASX</v>
          </cell>
          <cell r="D25">
            <v>75</v>
          </cell>
          <cell r="E25">
            <v>502071.35000000009</v>
          </cell>
          <cell r="F25">
            <v>192</v>
          </cell>
          <cell r="G25">
            <v>270569</v>
          </cell>
          <cell r="J25" t="str">
            <v>AJD.ASX</v>
          </cell>
          <cell r="K25" t="str">
            <v>AJD</v>
          </cell>
          <cell r="L25">
            <v>2</v>
          </cell>
          <cell r="M25">
            <v>216200188</v>
          </cell>
          <cell r="N25">
            <v>115000100</v>
          </cell>
          <cell r="O25">
            <v>41396</v>
          </cell>
          <cell r="P25" t="str">
            <v>Stapled</v>
          </cell>
          <cell r="Q25" t="str">
            <v>Ordinary Fully Paid Stapled Securities</v>
          </cell>
          <cell r="R25" t="str">
            <v>Asia Pacific Data Centre Group</v>
          </cell>
          <cell r="S25">
            <v>220</v>
          </cell>
          <cell r="T25">
            <v>9.5</v>
          </cell>
          <cell r="U25">
            <v>216</v>
          </cell>
          <cell r="V25">
            <v>165</v>
          </cell>
          <cell r="X25" t="str">
            <v>AJD.ASX</v>
          </cell>
          <cell r="Y25">
            <v>182</v>
          </cell>
          <cell r="Z25" t="str">
            <v>AJD.ASX</v>
          </cell>
          <cell r="AA25">
            <v>175.5</v>
          </cell>
          <cell r="AB25" t="str">
            <v>AJD.ASX</v>
          </cell>
          <cell r="AC25">
            <v>126</v>
          </cell>
          <cell r="AD25" t="str">
            <v>AJD.ASX</v>
          </cell>
          <cell r="AE25">
            <v>107</v>
          </cell>
          <cell r="AF25" t="str">
            <v>AJD.ASX</v>
          </cell>
          <cell r="AG25">
            <v>192</v>
          </cell>
        </row>
        <row r="26">
          <cell r="A26" t="str">
            <v>ALF</v>
          </cell>
          <cell r="B26" t="str">
            <v>ALF.ASX</v>
          </cell>
          <cell r="C26" t="str">
            <v>ALF.ASX</v>
          </cell>
          <cell r="D26">
            <v>1342</v>
          </cell>
          <cell r="E26">
            <v>12039579.272500003</v>
          </cell>
          <cell r="F26">
            <v>103</v>
          </cell>
          <cell r="G26">
            <v>11818019</v>
          </cell>
          <cell r="J26" t="str">
            <v>ALF.ASX</v>
          </cell>
          <cell r="K26" t="str">
            <v>ALF</v>
          </cell>
          <cell r="L26">
            <v>2</v>
          </cell>
          <cell r="M26">
            <v>279337022.10000002</v>
          </cell>
          <cell r="N26">
            <v>272523924</v>
          </cell>
          <cell r="O26">
            <v>38027</v>
          </cell>
          <cell r="P26" t="str">
            <v>Fpo</v>
          </cell>
          <cell r="Q26" t="str">
            <v>Ordinary Fully Paid</v>
          </cell>
          <cell r="R26" t="str">
            <v>Australian Leaders Fund Limited</v>
          </cell>
          <cell r="S26">
            <v>123</v>
          </cell>
          <cell r="U26">
            <v>129</v>
          </cell>
          <cell r="V26">
            <v>97.5</v>
          </cell>
          <cell r="X26" t="str">
            <v>ALF.ASX</v>
          </cell>
          <cell r="Y26">
            <v>104.5</v>
          </cell>
          <cell r="Z26" t="str">
            <v>ALF.ASX</v>
          </cell>
          <cell r="AA26">
            <v>120.5</v>
          </cell>
          <cell r="AB26" t="str">
            <v>ALF.ASX</v>
          </cell>
          <cell r="AC26">
            <v>123</v>
          </cell>
          <cell r="AD26" t="str">
            <v>ALF.ASX</v>
          </cell>
          <cell r="AE26">
            <v>142</v>
          </cell>
          <cell r="AF26" t="str">
            <v>ALF.ASX</v>
          </cell>
          <cell r="AG26">
            <v>103</v>
          </cell>
        </row>
        <row r="27">
          <cell r="A27" t="str">
            <v>ALI</v>
          </cell>
          <cell r="B27" t="str">
            <v>ALI.ASX</v>
          </cell>
          <cell r="C27" t="str">
            <v>ALI.ASX</v>
          </cell>
          <cell r="D27">
            <v>689</v>
          </cell>
          <cell r="E27">
            <v>5669249.5175000001</v>
          </cell>
          <cell r="F27">
            <v>180</v>
          </cell>
          <cell r="G27">
            <v>3208675</v>
          </cell>
          <cell r="J27" t="str">
            <v>ALI.ASX</v>
          </cell>
          <cell r="K27" t="str">
            <v>ALI</v>
          </cell>
          <cell r="L27">
            <v>2</v>
          </cell>
          <cell r="M27">
            <v>258761654.06</v>
          </cell>
          <cell r="N27">
            <v>142176733</v>
          </cell>
          <cell r="O27">
            <v>42188</v>
          </cell>
          <cell r="P27" t="str">
            <v>Fpo</v>
          </cell>
          <cell r="Q27" t="str">
            <v>Ordinary Fully Paid</v>
          </cell>
          <cell r="R27" t="str">
            <v>Argo Global Listed Infrastructure Limited</v>
          </cell>
          <cell r="S27">
            <v>211</v>
          </cell>
          <cell r="T27">
            <v>3.75</v>
          </cell>
          <cell r="U27">
            <v>196</v>
          </cell>
          <cell r="V27">
            <v>163</v>
          </cell>
          <cell r="X27" t="str">
            <v>ALI.ASX</v>
          </cell>
          <cell r="Y27">
            <v>177</v>
          </cell>
          <cell r="Z27" t="str">
            <v>ALI.ASX</v>
          </cell>
          <cell r="AA27">
            <v>185</v>
          </cell>
          <cell r="AB27" t="str">
            <v>ALI.ASX</v>
          </cell>
          <cell r="AD27" t="str">
            <v>ALI.ASX</v>
          </cell>
          <cell r="AF27" t="str">
            <v>ALI.ASX</v>
          </cell>
          <cell r="AG27">
            <v>180</v>
          </cell>
        </row>
        <row r="28">
          <cell r="A28" t="str">
            <v>CLF</v>
          </cell>
          <cell r="B28" t="str">
            <v>CLF.ASX</v>
          </cell>
          <cell r="C28" t="str">
            <v>CLF.ASX</v>
          </cell>
          <cell r="D28">
            <v>63</v>
          </cell>
          <cell r="E28">
            <v>379277.22499999998</v>
          </cell>
          <cell r="F28">
            <v>123.50000000000001</v>
          </cell>
          <cell r="G28">
            <v>300480</v>
          </cell>
          <cell r="J28" t="str">
            <v>CLF.ASX</v>
          </cell>
          <cell r="K28" t="str">
            <v>CLF</v>
          </cell>
          <cell r="L28">
            <v>2</v>
          </cell>
          <cell r="M28">
            <v>73657930.680000007</v>
          </cell>
          <cell r="N28">
            <v>59401557</v>
          </cell>
          <cell r="O28">
            <v>35667</v>
          </cell>
          <cell r="P28" t="str">
            <v>Fpo</v>
          </cell>
          <cell r="Q28" t="str">
            <v>Ordinary Fully Paid</v>
          </cell>
          <cell r="R28" t="str">
            <v>Concentrated Leaders Fund Limited</v>
          </cell>
          <cell r="S28">
            <v>128</v>
          </cell>
          <cell r="T28">
            <v>5.5</v>
          </cell>
          <cell r="U28">
            <v>129</v>
          </cell>
          <cell r="V28">
            <v>113</v>
          </cell>
          <cell r="X28" t="str">
            <v>CLF.ASX</v>
          </cell>
          <cell r="Y28">
            <v>123</v>
          </cell>
          <cell r="Z28" t="str">
            <v>CLF.ASX</v>
          </cell>
          <cell r="AA28">
            <v>117</v>
          </cell>
          <cell r="AB28" t="str">
            <v>CLF.ASX</v>
          </cell>
          <cell r="AC28">
            <v>112.00000000000001</v>
          </cell>
          <cell r="AD28" t="str">
            <v>CLF.ASX</v>
          </cell>
          <cell r="AE28">
            <v>122</v>
          </cell>
          <cell r="AF28" t="str">
            <v>CLF.ASX</v>
          </cell>
          <cell r="AG28">
            <v>123.50000000000001</v>
          </cell>
        </row>
        <row r="29">
          <cell r="A29" t="str">
            <v>AMH</v>
          </cell>
          <cell r="B29" t="str">
            <v>AMH.ASX</v>
          </cell>
          <cell r="C29" t="str">
            <v>AMH.ASX</v>
          </cell>
          <cell r="D29">
            <v>382</v>
          </cell>
          <cell r="E29">
            <v>2433558.9150000005</v>
          </cell>
          <cell r="F29">
            <v>96</v>
          </cell>
          <cell r="G29">
            <v>2566290</v>
          </cell>
          <cell r="J29" t="str">
            <v>AMH.ASX</v>
          </cell>
          <cell r="K29" t="str">
            <v>AMH</v>
          </cell>
          <cell r="L29">
            <v>2</v>
          </cell>
          <cell r="M29">
            <v>249732284.16999999</v>
          </cell>
          <cell r="N29">
            <v>261499774</v>
          </cell>
          <cell r="O29">
            <v>36566</v>
          </cell>
          <cell r="P29" t="str">
            <v>Fpo</v>
          </cell>
          <cell r="Q29" t="str">
            <v>Ordinary Fully Paid</v>
          </cell>
          <cell r="R29" t="str">
            <v>AMCIL Limited</v>
          </cell>
          <cell r="S29">
            <v>91</v>
          </cell>
          <cell r="T29">
            <v>3.5</v>
          </cell>
          <cell r="U29">
            <v>97.5</v>
          </cell>
          <cell r="V29">
            <v>84.5</v>
          </cell>
          <cell r="X29" t="str">
            <v>AMH.ASX</v>
          </cell>
          <cell r="Y29">
            <v>92.5</v>
          </cell>
          <cell r="Z29" t="str">
            <v>AMH.ASX</v>
          </cell>
          <cell r="AA29">
            <v>91.5</v>
          </cell>
          <cell r="AB29" t="str">
            <v>AMH.ASX</v>
          </cell>
          <cell r="AC29">
            <v>90</v>
          </cell>
          <cell r="AD29" t="str">
            <v>AMH.ASX</v>
          </cell>
          <cell r="AE29">
            <v>78.711658643790145</v>
          </cell>
          <cell r="AF29" t="str">
            <v>AMH.ASX</v>
          </cell>
          <cell r="AG29">
            <v>96</v>
          </cell>
        </row>
        <row r="30">
          <cell r="A30" t="str">
            <v>AOD</v>
          </cell>
          <cell r="B30" t="str">
            <v>AOD.ASX</v>
          </cell>
          <cell r="C30" t="str">
            <v>AOD.ASX</v>
          </cell>
          <cell r="D30">
            <v>15</v>
          </cell>
          <cell r="E30">
            <v>74451.395000000004</v>
          </cell>
          <cell r="F30">
            <v>56.000000000000007</v>
          </cell>
          <cell r="G30">
            <v>126170</v>
          </cell>
          <cell r="J30" t="str">
            <v>AOD.ASX</v>
          </cell>
          <cell r="K30" t="str">
            <v>AOD</v>
          </cell>
          <cell r="L30">
            <v>2</v>
          </cell>
          <cell r="M30">
            <v>7045069.0499999998</v>
          </cell>
          <cell r="N30">
            <v>12264233</v>
          </cell>
          <cell r="O30">
            <v>38673</v>
          </cell>
          <cell r="P30" t="str">
            <v>Mfunit</v>
          </cell>
          <cell r="Q30" t="str">
            <v>Managed Fund Units</v>
          </cell>
          <cell r="R30" t="str">
            <v>Aurora Dividend Income Trust (Managed Fund)</v>
          </cell>
          <cell r="S30">
            <v>60</v>
          </cell>
          <cell r="T30">
            <v>3.7899999999999996</v>
          </cell>
          <cell r="U30">
            <v>67</v>
          </cell>
          <cell r="V30">
            <v>56</v>
          </cell>
          <cell r="X30" t="str">
            <v>AOD.ASX</v>
          </cell>
          <cell r="Y30">
            <v>61</v>
          </cell>
          <cell r="Z30" t="str">
            <v>AOD.ASX</v>
          </cell>
          <cell r="AA30">
            <v>69.5</v>
          </cell>
          <cell r="AB30" t="str">
            <v>AOD.ASX</v>
          </cell>
          <cell r="AC30">
            <v>84</v>
          </cell>
          <cell r="AD30" t="str">
            <v>AOD.ASX</v>
          </cell>
          <cell r="AE30">
            <v>93.5</v>
          </cell>
          <cell r="AF30" t="str">
            <v>AOD.ASX</v>
          </cell>
          <cell r="AG30">
            <v>56.000000000000007</v>
          </cell>
        </row>
        <row r="31">
          <cell r="A31" t="str">
            <v>AOF</v>
          </cell>
          <cell r="B31" t="str">
            <v>AOF.ASX</v>
          </cell>
          <cell r="C31" t="str">
            <v>AOF.ASX</v>
          </cell>
          <cell r="D31">
            <v>1680</v>
          </cell>
          <cell r="E31">
            <v>11739277.794999998</v>
          </cell>
          <cell r="F31">
            <v>250</v>
          </cell>
          <cell r="G31">
            <v>4817245</v>
          </cell>
          <cell r="J31" t="str">
            <v>AOF.ASX</v>
          </cell>
          <cell r="K31" t="str">
            <v>AOF</v>
          </cell>
          <cell r="L31">
            <v>2</v>
          </cell>
          <cell r="M31">
            <v>407079880</v>
          </cell>
          <cell r="N31">
            <v>162831952</v>
          </cell>
          <cell r="O31">
            <v>42541</v>
          </cell>
          <cell r="P31" t="str">
            <v>Fpo</v>
          </cell>
          <cell r="Q31" t="str">
            <v>Ordinary Units Fully Paid</v>
          </cell>
          <cell r="R31" t="str">
            <v>Australian Unity Office Fund</v>
          </cell>
          <cell r="S31">
            <v>231</v>
          </cell>
          <cell r="T31">
            <v>15.590640074014663</v>
          </cell>
          <cell r="U31">
            <v>257</v>
          </cell>
          <cell r="V31">
            <v>218</v>
          </cell>
          <cell r="X31" t="str">
            <v>AOF.ASX</v>
          </cell>
          <cell r="Y31">
            <v>236</v>
          </cell>
          <cell r="Z31" t="str">
            <v>AOF.ASX</v>
          </cell>
          <cell r="AA31">
            <v>222.46480423212051</v>
          </cell>
          <cell r="AB31" t="str">
            <v>AOF.ASX</v>
          </cell>
          <cell r="AD31" t="str">
            <v>AOF.ASX</v>
          </cell>
          <cell r="AF31" t="str">
            <v>AOF.ASX</v>
          </cell>
          <cell r="AG31">
            <v>250</v>
          </cell>
        </row>
        <row r="32">
          <cell r="A32" t="str">
            <v>APA</v>
          </cell>
          <cell r="B32" t="str">
            <v>APA.ASX</v>
          </cell>
          <cell r="C32" t="str">
            <v>APA.ASX</v>
          </cell>
          <cell r="D32">
            <v>190512</v>
          </cell>
          <cell r="E32">
            <v>1141537802.6092985</v>
          </cell>
          <cell r="F32">
            <v>985</v>
          </cell>
          <cell r="G32">
            <v>118850352</v>
          </cell>
          <cell r="J32" t="str">
            <v>APA.ASX</v>
          </cell>
          <cell r="K32" t="str">
            <v>APA</v>
          </cell>
          <cell r="L32">
            <v>2</v>
          </cell>
          <cell r="M32">
            <v>11680851600</v>
          </cell>
          <cell r="N32">
            <v>1179893848</v>
          </cell>
          <cell r="O32">
            <v>36690</v>
          </cell>
          <cell r="P32" t="str">
            <v>Stapled</v>
          </cell>
          <cell r="Q32" t="str">
            <v>Units Fully Paid Stapled Securities</v>
          </cell>
          <cell r="R32" t="str">
            <v>APA Group</v>
          </cell>
          <cell r="S32">
            <v>-29</v>
          </cell>
          <cell r="T32">
            <v>44.920200526714325</v>
          </cell>
          <cell r="U32">
            <v>1029</v>
          </cell>
          <cell r="V32">
            <v>759</v>
          </cell>
          <cell r="X32" t="str">
            <v>APA.ASX</v>
          </cell>
          <cell r="Y32">
            <v>872.00000000000011</v>
          </cell>
          <cell r="Z32" t="str">
            <v>APA.ASX</v>
          </cell>
          <cell r="AA32">
            <v>913.51542299985886</v>
          </cell>
          <cell r="AB32" t="str">
            <v>APA.ASX</v>
          </cell>
          <cell r="AC32">
            <v>820.86882066726685</v>
          </cell>
          <cell r="AD32" t="str">
            <v>APA.ASX</v>
          </cell>
          <cell r="AE32">
            <v>574.34665773349843</v>
          </cell>
          <cell r="AF32" t="str">
            <v>APA.ASX</v>
          </cell>
          <cell r="AG32">
            <v>985</v>
          </cell>
        </row>
        <row r="33">
          <cell r="A33" t="str">
            <v>APL</v>
          </cell>
          <cell r="B33" t="str">
            <v>APL.ASX</v>
          </cell>
          <cell r="C33" t="str">
            <v>APL.ASX</v>
          </cell>
          <cell r="D33">
            <v>1316</v>
          </cell>
          <cell r="E33">
            <v>12605153.855000002</v>
          </cell>
          <cell r="F33">
            <v>118</v>
          </cell>
          <cell r="G33">
            <v>10654001</v>
          </cell>
          <cell r="J33" t="str">
            <v>APL.ASX</v>
          </cell>
          <cell r="K33" t="str">
            <v>APL</v>
          </cell>
          <cell r="L33">
            <v>2</v>
          </cell>
          <cell r="M33">
            <v>432328449.55000001</v>
          </cell>
          <cell r="N33">
            <v>367939106</v>
          </cell>
          <cell r="O33">
            <v>42661</v>
          </cell>
          <cell r="P33" t="str">
            <v>Fpo</v>
          </cell>
          <cell r="Q33" t="str">
            <v>Ordinary Fully Paid</v>
          </cell>
          <cell r="R33" t="str">
            <v>Antipodes Global Investment Company Ltd</v>
          </cell>
          <cell r="S33">
            <v>123</v>
          </cell>
          <cell r="U33">
            <v>137</v>
          </cell>
          <cell r="V33">
            <v>115</v>
          </cell>
          <cell r="X33" t="str">
            <v>APL.ASX</v>
          </cell>
          <cell r="Y33">
            <v>119</v>
          </cell>
          <cell r="Z33" t="str">
            <v>APL.ASX</v>
          </cell>
          <cell r="AA33">
            <v>124.50000000000001</v>
          </cell>
          <cell r="AB33" t="str">
            <v>APL.ASX</v>
          </cell>
          <cell r="AD33" t="str">
            <v>APL.ASX</v>
          </cell>
          <cell r="AF33" t="str">
            <v>APL.ASX</v>
          </cell>
          <cell r="AG33">
            <v>118</v>
          </cell>
        </row>
        <row r="34">
          <cell r="A34" t="str">
            <v>APW</v>
          </cell>
          <cell r="B34" t="str">
            <v>APW.ASX</v>
          </cell>
          <cell r="C34" t="str">
            <v>APW.ASX</v>
          </cell>
          <cell r="D34">
            <v>29</v>
          </cell>
          <cell r="E34">
            <v>292638.68</v>
          </cell>
          <cell r="F34">
            <v>157.5</v>
          </cell>
          <cell r="G34">
            <v>178486</v>
          </cell>
          <cell r="J34" t="str">
            <v>APW.ASX</v>
          </cell>
          <cell r="K34" t="str">
            <v>APW</v>
          </cell>
          <cell r="L34">
            <v>2</v>
          </cell>
          <cell r="M34">
            <v>72746311.569999993</v>
          </cell>
          <cell r="N34">
            <v>44629639</v>
          </cell>
          <cell r="O34">
            <v>38338</v>
          </cell>
          <cell r="P34" t="str">
            <v>Unit</v>
          </cell>
          <cell r="Q34" t="str">
            <v>Ordinary Units Fully Paid</v>
          </cell>
          <cell r="R34" t="str">
            <v>Aims Property Securities Fund</v>
          </cell>
          <cell r="S34">
            <v>213</v>
          </cell>
          <cell r="T34">
            <v>2.8652000000000002</v>
          </cell>
          <cell r="U34">
            <v>173</v>
          </cell>
          <cell r="V34">
            <v>148</v>
          </cell>
          <cell r="X34" t="str">
            <v>APW.ASX</v>
          </cell>
          <cell r="Y34">
            <v>164</v>
          </cell>
          <cell r="Z34" t="str">
            <v>APW.ASX</v>
          </cell>
          <cell r="AA34">
            <v>150.5</v>
          </cell>
          <cell r="AB34" t="str">
            <v>APW.ASX</v>
          </cell>
          <cell r="AC34">
            <v>130</v>
          </cell>
          <cell r="AD34" t="str">
            <v>APW.ASX</v>
          </cell>
          <cell r="AE34">
            <v>66.564499616622925</v>
          </cell>
          <cell r="AF34" t="str">
            <v>APW.ASX</v>
          </cell>
          <cell r="AG34">
            <v>157.5</v>
          </cell>
        </row>
        <row r="35">
          <cell r="A35" t="str">
            <v>APZ</v>
          </cell>
          <cell r="B35" t="str">
            <v>APZ.ASX</v>
          </cell>
          <cell r="C35" t="str">
            <v>APZ.ASX</v>
          </cell>
          <cell r="D35">
            <v>574</v>
          </cell>
          <cell r="E35">
            <v>2675942.3825000003</v>
          </cell>
          <cell r="F35">
            <v>95.5</v>
          </cell>
          <cell r="G35">
            <v>2781236</v>
          </cell>
          <cell r="J35" t="str">
            <v>APZ.ASX</v>
          </cell>
          <cell r="K35" t="str">
            <v>APZ</v>
          </cell>
          <cell r="L35">
            <v>2</v>
          </cell>
          <cell r="M35">
            <v>92696318.700000003</v>
          </cell>
          <cell r="N35">
            <v>98613105</v>
          </cell>
          <cell r="O35">
            <v>33339</v>
          </cell>
          <cell r="P35" t="str">
            <v>Stapled</v>
          </cell>
          <cell r="Q35" t="str">
            <v>Ordinary/Units Fully Paid Stapled Securities</v>
          </cell>
          <cell r="R35" t="str">
            <v>Aspen Group</v>
          </cell>
          <cell r="S35">
            <v>0</v>
          </cell>
          <cell r="T35">
            <v>4.2</v>
          </cell>
          <cell r="U35">
            <v>116.5</v>
          </cell>
          <cell r="V35">
            <v>90</v>
          </cell>
          <cell r="X35" t="str">
            <v>APZ.ASX</v>
          </cell>
          <cell r="Y35">
            <v>93.5</v>
          </cell>
          <cell r="Z35" t="str">
            <v>APZ.ASX</v>
          </cell>
          <cell r="AA35">
            <v>110.00000000000001</v>
          </cell>
          <cell r="AB35" t="str">
            <v>APZ.ASX</v>
          </cell>
          <cell r="AC35">
            <v>133</v>
          </cell>
          <cell r="AD35" t="str">
            <v>APZ.ASX</v>
          </cell>
          <cell r="AE35">
            <v>175</v>
          </cell>
          <cell r="AF35" t="str">
            <v>APZ.ASX</v>
          </cell>
          <cell r="AG35">
            <v>95.5</v>
          </cell>
        </row>
        <row r="36">
          <cell r="A36" t="str">
            <v>AQF</v>
          </cell>
          <cell r="B36" t="str">
            <v>AQF.ASX</v>
          </cell>
          <cell r="C36" t="str">
            <v>AQF.ASX</v>
          </cell>
          <cell r="D36">
            <v>43</v>
          </cell>
          <cell r="E36">
            <v>258712.06000000003</v>
          </cell>
          <cell r="F36">
            <v>185</v>
          </cell>
          <cell r="G36">
            <v>142622</v>
          </cell>
          <cell r="J36" t="str">
            <v>AQF.ASX</v>
          </cell>
          <cell r="K36" t="str">
            <v>AQF</v>
          </cell>
          <cell r="L36">
            <v>2</v>
          </cell>
          <cell r="M36">
            <v>45029684.5</v>
          </cell>
          <cell r="N36">
            <v>24340370</v>
          </cell>
          <cell r="O36">
            <v>40219</v>
          </cell>
          <cell r="P36" t="str">
            <v>Fpo</v>
          </cell>
          <cell r="Q36" t="str">
            <v>Ordinary Fully Paid</v>
          </cell>
          <cell r="R36" t="str">
            <v>Australian Governance Masters Index Fund Limited</v>
          </cell>
          <cell r="S36">
            <v>181</v>
          </cell>
          <cell r="T36">
            <v>6</v>
          </cell>
          <cell r="U36">
            <v>202</v>
          </cell>
          <cell r="V36">
            <v>179</v>
          </cell>
          <cell r="X36" t="str">
            <v>AQF.ASX</v>
          </cell>
          <cell r="Y36">
            <v>180</v>
          </cell>
          <cell r="Z36" t="str">
            <v>AQF.ASX</v>
          </cell>
          <cell r="AA36">
            <v>190</v>
          </cell>
          <cell r="AB36" t="str">
            <v>AQF.ASX</v>
          </cell>
          <cell r="AC36">
            <v>202</v>
          </cell>
          <cell r="AD36" t="str">
            <v>AQF.ASX</v>
          </cell>
          <cell r="AE36">
            <v>174</v>
          </cell>
          <cell r="AF36" t="str">
            <v>AQF.ASX</v>
          </cell>
          <cell r="AG36">
            <v>185</v>
          </cell>
        </row>
        <row r="37">
          <cell r="A37" t="str">
            <v>ARF</v>
          </cell>
          <cell r="B37" t="str">
            <v>ARF.ASX</v>
          </cell>
          <cell r="C37" t="str">
            <v>ARF.ASX</v>
          </cell>
          <cell r="D37">
            <v>11154</v>
          </cell>
          <cell r="E37">
            <v>16859909.6351</v>
          </cell>
          <cell r="F37">
            <v>215</v>
          </cell>
          <cell r="G37">
            <v>7588039</v>
          </cell>
          <cell r="J37" t="str">
            <v>ARF.ASX</v>
          </cell>
          <cell r="K37" t="str">
            <v>ARF</v>
          </cell>
          <cell r="L37">
            <v>2</v>
          </cell>
          <cell r="M37">
            <v>565768910</v>
          </cell>
          <cell r="N37">
            <v>269350972</v>
          </cell>
          <cell r="O37">
            <v>41438</v>
          </cell>
          <cell r="P37" t="str">
            <v>Stapled</v>
          </cell>
          <cell r="Q37" t="str">
            <v>Stapled Securities Fully Paid</v>
          </cell>
          <cell r="R37" t="str">
            <v>Arena REIT.</v>
          </cell>
          <cell r="S37">
            <v>193</v>
          </cell>
          <cell r="T37">
            <v>12.8</v>
          </cell>
          <cell r="U37">
            <v>254</v>
          </cell>
          <cell r="V37">
            <v>206</v>
          </cell>
          <cell r="X37" t="str">
            <v>ARF.ASX</v>
          </cell>
          <cell r="Y37">
            <v>219</v>
          </cell>
          <cell r="Z37" t="str">
            <v>ARF.ASX</v>
          </cell>
          <cell r="AA37">
            <v>225</v>
          </cell>
          <cell r="AB37" t="str">
            <v>ARF.ASX</v>
          </cell>
          <cell r="AC37">
            <v>153.5</v>
          </cell>
          <cell r="AD37" t="str">
            <v>ARF.ASX</v>
          </cell>
          <cell r="AE37">
            <v>102</v>
          </cell>
          <cell r="AF37" t="str">
            <v>ARF.ASX</v>
          </cell>
          <cell r="AG37">
            <v>215</v>
          </cell>
        </row>
        <row r="38">
          <cell r="A38" t="str">
            <v>ARG</v>
          </cell>
          <cell r="B38" t="str">
            <v>ARG.ASX</v>
          </cell>
          <cell r="C38" t="str">
            <v>ARG.ASX</v>
          </cell>
          <cell r="D38">
            <v>4526</v>
          </cell>
          <cell r="E38">
            <v>40040367.974999994</v>
          </cell>
          <cell r="F38">
            <v>797</v>
          </cell>
          <cell r="G38">
            <v>5040857</v>
          </cell>
          <cell r="J38" t="str">
            <v>ARG.ASX</v>
          </cell>
          <cell r="K38" t="str">
            <v>ARG</v>
          </cell>
          <cell r="L38">
            <v>2</v>
          </cell>
          <cell r="M38">
            <v>5638367036.1000004</v>
          </cell>
          <cell r="N38">
            <v>709228558</v>
          </cell>
          <cell r="O38">
            <v>23101</v>
          </cell>
          <cell r="P38" t="str">
            <v>Fpo</v>
          </cell>
          <cell r="Q38" t="str">
            <v>Ordinary Fully Paid</v>
          </cell>
          <cell r="R38" t="str">
            <v>Argo Investments Limited</v>
          </cell>
          <cell r="S38">
            <v>792</v>
          </cell>
          <cell r="T38">
            <v>31.5</v>
          </cell>
          <cell r="U38">
            <v>844</v>
          </cell>
          <cell r="V38">
            <v>770</v>
          </cell>
          <cell r="X38" t="str">
            <v>ARG.ASX</v>
          </cell>
          <cell r="Y38">
            <v>782</v>
          </cell>
          <cell r="Z38" t="str">
            <v>ARG.ASX</v>
          </cell>
          <cell r="AA38">
            <v>767</v>
          </cell>
          <cell r="AB38" t="str">
            <v>ARG.ASX</v>
          </cell>
          <cell r="AC38">
            <v>797</v>
          </cell>
          <cell r="AD38" t="str">
            <v>ARG.ASX</v>
          </cell>
          <cell r="AE38">
            <v>646</v>
          </cell>
          <cell r="AF38" t="str">
            <v>ARG.ASX</v>
          </cell>
          <cell r="AG38">
            <v>797</v>
          </cell>
        </row>
        <row r="39">
          <cell r="A39" t="str">
            <v>AST</v>
          </cell>
          <cell r="B39" t="str">
            <v>AST.ASX</v>
          </cell>
          <cell r="C39" t="str">
            <v>AST.ASX</v>
          </cell>
          <cell r="D39">
            <v>102959</v>
          </cell>
          <cell r="E39">
            <v>291936323.91549999</v>
          </cell>
          <cell r="F39">
            <v>160.5</v>
          </cell>
          <cell r="G39">
            <v>186023769</v>
          </cell>
          <cell r="J39" t="str">
            <v>AST.ASX</v>
          </cell>
          <cell r="K39" t="str">
            <v>AST</v>
          </cell>
          <cell r="L39">
            <v>2</v>
          </cell>
          <cell r="M39">
            <v>2868561774.375</v>
          </cell>
          <cell r="N39">
            <v>3614346765</v>
          </cell>
          <cell r="O39">
            <v>38700</v>
          </cell>
          <cell r="P39" t="str">
            <v>Fpo</v>
          </cell>
          <cell r="Q39" t="str">
            <v>Ordinary Fully Paid</v>
          </cell>
          <cell r="R39" t="str">
            <v>AusNet Services Limited</v>
          </cell>
          <cell r="S39">
            <v>83</v>
          </cell>
          <cell r="T39">
            <v>9.25</v>
          </cell>
          <cell r="U39">
            <v>195.5</v>
          </cell>
          <cell r="V39">
            <v>150</v>
          </cell>
          <cell r="X39" t="str">
            <v>AST.ASX</v>
          </cell>
          <cell r="Y39">
            <v>162</v>
          </cell>
          <cell r="Z39" t="str">
            <v>AST.ASX</v>
          </cell>
          <cell r="AA39">
            <v>173.5</v>
          </cell>
          <cell r="AB39" t="str">
            <v>AST.ASX</v>
          </cell>
          <cell r="AC39">
            <v>139.5</v>
          </cell>
          <cell r="AD39" t="str">
            <v>AST.ASX</v>
          </cell>
          <cell r="AE39">
            <v>117.5</v>
          </cell>
          <cell r="AF39" t="str">
            <v>AST.ASX</v>
          </cell>
          <cell r="AG39">
            <v>160.5</v>
          </cell>
        </row>
        <row r="40">
          <cell r="A40" t="str">
            <v>AUI</v>
          </cell>
          <cell r="B40" t="str">
            <v>AUI.ASX</v>
          </cell>
          <cell r="C40" t="str">
            <v>AUI.ASX</v>
          </cell>
          <cell r="D40">
            <v>231</v>
          </cell>
          <cell r="E40">
            <v>1969963.4999999998</v>
          </cell>
          <cell r="F40">
            <v>865</v>
          </cell>
          <cell r="G40">
            <v>232229</v>
          </cell>
          <cell r="J40" t="str">
            <v>AUI.ASX</v>
          </cell>
          <cell r="K40" t="str">
            <v>AUI</v>
          </cell>
          <cell r="L40">
            <v>2</v>
          </cell>
          <cell r="M40">
            <v>1072655974.15</v>
          </cell>
          <cell r="N40">
            <v>124006471</v>
          </cell>
          <cell r="O40">
            <v>27030</v>
          </cell>
          <cell r="P40" t="str">
            <v>Fpo</v>
          </cell>
          <cell r="Q40" t="str">
            <v>Ordinary Fully Paid</v>
          </cell>
          <cell r="R40" t="str">
            <v>Australian United Investment Company Limited</v>
          </cell>
          <cell r="S40">
            <v>772</v>
          </cell>
          <cell r="T40">
            <v>34.5</v>
          </cell>
          <cell r="U40">
            <v>908</v>
          </cell>
          <cell r="V40">
            <v>814</v>
          </cell>
          <cell r="X40" t="str">
            <v>AUI.ASX</v>
          </cell>
          <cell r="Y40">
            <v>831</v>
          </cell>
          <cell r="Z40" t="str">
            <v>AUI.ASX</v>
          </cell>
          <cell r="AA40">
            <v>809</v>
          </cell>
          <cell r="AB40" t="str">
            <v>AUI.ASX</v>
          </cell>
          <cell r="AC40">
            <v>806.3879895210265</v>
          </cell>
          <cell r="AD40" t="str">
            <v>AUI.ASX</v>
          </cell>
          <cell r="AE40">
            <v>673.62899124622345</v>
          </cell>
          <cell r="AF40" t="str">
            <v>AUI.ASX</v>
          </cell>
          <cell r="AG40">
            <v>865</v>
          </cell>
        </row>
        <row r="41">
          <cell r="A41" t="str">
            <v>AUDS</v>
          </cell>
          <cell r="B41" t="str">
            <v>AUDS.AXW</v>
          </cell>
          <cell r="C41" t="str">
            <v>AUDS.AXW</v>
          </cell>
          <cell r="D41">
            <v>59</v>
          </cell>
          <cell r="E41">
            <v>3154752.93</v>
          </cell>
          <cell r="F41">
            <v>1398</v>
          </cell>
          <cell r="G41">
            <v>224820</v>
          </cell>
          <cell r="J41" t="str">
            <v>AUDS.AXW</v>
          </cell>
          <cell r="K41" t="str">
            <v>AUDS</v>
          </cell>
          <cell r="L41">
            <v>2</v>
          </cell>
          <cell r="M41">
            <v>2750000</v>
          </cell>
          <cell r="N41">
            <v>300000</v>
          </cell>
          <cell r="O41">
            <v>42759</v>
          </cell>
          <cell r="P41" t="str">
            <v>Tmf Units</v>
          </cell>
          <cell r="Q41" t="str">
            <v>Trading Managed Units Fully Paid</v>
          </cell>
          <cell r="R41" t="str">
            <v>Betashares Strong Australian Dollar Fund (Hedge Fund)</v>
          </cell>
          <cell r="S41">
            <v>0</v>
          </cell>
          <cell r="U41">
            <v>1771</v>
          </cell>
          <cell r="V41">
            <v>1372</v>
          </cell>
          <cell r="X41" t="str">
            <v>AUDS.AXW</v>
          </cell>
          <cell r="Y41">
            <v>1452</v>
          </cell>
          <cell r="Z41" t="str">
            <v>AUDS.AXW</v>
          </cell>
          <cell r="AA41">
            <v>1598</v>
          </cell>
          <cell r="AB41" t="str">
            <v>AUDS.AXW</v>
          </cell>
          <cell r="AC41">
            <v>114.99999999999999</v>
          </cell>
          <cell r="AD41" t="str">
            <v>AUDS.AXW</v>
          </cell>
          <cell r="AE41">
            <v>96</v>
          </cell>
          <cell r="AF41" t="str">
            <v>AUDS.AXW</v>
          </cell>
          <cell r="AG41">
            <v>1398</v>
          </cell>
        </row>
        <row r="42">
          <cell r="A42" t="str">
            <v>AUP</v>
          </cell>
          <cell r="B42" t="str">
            <v>AUP.ASX</v>
          </cell>
          <cell r="C42" t="str">
            <v>AUP.ASX</v>
          </cell>
          <cell r="D42">
            <v>18</v>
          </cell>
          <cell r="E42">
            <v>74258.23000000001</v>
          </cell>
          <cell r="F42">
            <v>263</v>
          </cell>
          <cell r="G42">
            <v>23567</v>
          </cell>
          <cell r="J42" t="str">
            <v>AUP.ASX</v>
          </cell>
          <cell r="K42" t="str">
            <v>AUP</v>
          </cell>
          <cell r="L42">
            <v>2</v>
          </cell>
          <cell r="M42">
            <v>5179563.2</v>
          </cell>
          <cell r="N42">
            <v>1849844</v>
          </cell>
          <cell r="O42">
            <v>39289</v>
          </cell>
          <cell r="P42" t="str">
            <v>Units</v>
          </cell>
          <cell r="Q42" t="str">
            <v>Ordinary Units Fully Paid</v>
          </cell>
          <cell r="R42" t="str">
            <v>Aurora Property Buy-Write Income Trust</v>
          </cell>
          <cell r="S42">
            <v>353</v>
          </cell>
          <cell r="T42">
            <v>30.98</v>
          </cell>
          <cell r="U42">
            <v>453</v>
          </cell>
          <cell r="V42">
            <v>263</v>
          </cell>
          <cell r="X42" t="str">
            <v>AUP.ASX</v>
          </cell>
          <cell r="Y42">
            <v>380</v>
          </cell>
          <cell r="Z42" t="str">
            <v>AUP.ASX</v>
          </cell>
          <cell r="AA42">
            <v>430</v>
          </cell>
          <cell r="AB42" t="str">
            <v>AUP.ASX</v>
          </cell>
          <cell r="AC42">
            <v>550</v>
          </cell>
          <cell r="AD42" t="str">
            <v>AUP.ASX</v>
          </cell>
          <cell r="AE42">
            <v>528</v>
          </cell>
          <cell r="AF42" t="str">
            <v>AUP.ASX</v>
          </cell>
          <cell r="AG42">
            <v>263</v>
          </cell>
        </row>
        <row r="43">
          <cell r="A43" t="str">
            <v>AUST</v>
          </cell>
          <cell r="B43" t="str">
            <v>AUST.AXW</v>
          </cell>
          <cell r="C43" t="str">
            <v>AUST.AXW</v>
          </cell>
          <cell r="D43">
            <v>55</v>
          </cell>
          <cell r="E43">
            <v>1145113.72</v>
          </cell>
          <cell r="F43">
            <v>1655</v>
          </cell>
          <cell r="G43">
            <v>70209</v>
          </cell>
          <cell r="J43" t="str">
            <v>AUST.AXW</v>
          </cell>
          <cell r="K43" t="str">
            <v>AUST</v>
          </cell>
          <cell r="L43">
            <v>2</v>
          </cell>
          <cell r="M43">
            <v>26268444.300000001</v>
          </cell>
          <cell r="N43">
            <v>1311561</v>
          </cell>
          <cell r="O43">
            <v>42318</v>
          </cell>
          <cell r="P43" t="str">
            <v>Tmf Units</v>
          </cell>
          <cell r="Q43" t="str">
            <v>Trading Managed Fund Units Fully Paid</v>
          </cell>
          <cell r="R43" t="str">
            <v>BETASHARES MANAGED RISK AUSTRALIAN SHARE FUND</v>
          </cell>
          <cell r="S43">
            <v>0</v>
          </cell>
          <cell r="T43">
            <v>73.059899999999999</v>
          </cell>
          <cell r="U43">
            <v>1660</v>
          </cell>
          <cell r="V43">
            <v>1532</v>
          </cell>
          <cell r="X43" t="str">
            <v>AUST.AXW</v>
          </cell>
          <cell r="Y43">
            <v>1593</v>
          </cell>
          <cell r="Z43" t="str">
            <v>AUST.AXW</v>
          </cell>
          <cell r="AA43">
            <v>1562</v>
          </cell>
          <cell r="AB43" t="str">
            <v>AUST.AXW</v>
          </cell>
          <cell r="AD43" t="str">
            <v>AUST.AXW</v>
          </cell>
          <cell r="AF43" t="str">
            <v>AUST.AXW</v>
          </cell>
          <cell r="AG43">
            <v>1655</v>
          </cell>
        </row>
        <row r="44">
          <cell r="A44" t="str">
            <v>AVN</v>
          </cell>
          <cell r="B44" t="str">
            <v>AVN.ASX</v>
          </cell>
          <cell r="C44" t="str">
            <v>AVN.ASX</v>
          </cell>
          <cell r="D44">
            <v>13176</v>
          </cell>
          <cell r="E44">
            <v>24476760.703099992</v>
          </cell>
          <cell r="F44">
            <v>224.00000000000003</v>
          </cell>
          <cell r="G44">
            <v>10874707</v>
          </cell>
          <cell r="J44" t="str">
            <v>AVN.ASX</v>
          </cell>
          <cell r="K44" t="str">
            <v>AVN</v>
          </cell>
          <cell r="L44">
            <v>2</v>
          </cell>
          <cell r="M44">
            <v>709919769.60000002</v>
          </cell>
          <cell r="N44">
            <v>494174250</v>
          </cell>
          <cell r="O44">
            <v>42293</v>
          </cell>
          <cell r="P44" t="str">
            <v>Unit</v>
          </cell>
          <cell r="Q44" t="str">
            <v>Ordinary Units Fully Paid</v>
          </cell>
          <cell r="R44" t="str">
            <v>Aventus Retail Property Fund</v>
          </cell>
          <cell r="S44">
            <v>234</v>
          </cell>
          <cell r="T44">
            <v>16.260000000000002</v>
          </cell>
          <cell r="U44">
            <v>238</v>
          </cell>
          <cell r="V44">
            <v>202</v>
          </cell>
          <cell r="X44" t="str">
            <v>AVN.ASX</v>
          </cell>
          <cell r="Y44">
            <v>223</v>
          </cell>
          <cell r="Z44" t="str">
            <v>AVN.ASX</v>
          </cell>
          <cell r="AA44">
            <v>229.99999999999997</v>
          </cell>
          <cell r="AB44" t="str">
            <v>AVN.ASX</v>
          </cell>
          <cell r="AC44">
            <v>530</v>
          </cell>
          <cell r="AD44" t="str">
            <v>AVN.ASX</v>
          </cell>
          <cell r="AE44">
            <v>536</v>
          </cell>
          <cell r="AF44" t="str">
            <v>AVN.ASX</v>
          </cell>
          <cell r="AG44">
            <v>224.00000000000003</v>
          </cell>
        </row>
        <row r="45">
          <cell r="A45" t="str">
            <v>AYF</v>
          </cell>
          <cell r="B45" t="str">
            <v>AYF.ASX</v>
          </cell>
          <cell r="C45" t="str">
            <v>AYF.ASX</v>
          </cell>
          <cell r="D45">
            <v>23</v>
          </cell>
          <cell r="E45">
            <v>189357.37</v>
          </cell>
          <cell r="F45">
            <v>580</v>
          </cell>
          <cell r="G45">
            <v>31840</v>
          </cell>
          <cell r="J45" t="str">
            <v>AYF.ASX</v>
          </cell>
          <cell r="K45" t="str">
            <v>AYF</v>
          </cell>
          <cell r="L45">
            <v>2</v>
          </cell>
          <cell r="M45">
            <v>19343832.300000001</v>
          </cell>
          <cell r="N45">
            <v>3306638</v>
          </cell>
          <cell r="O45">
            <v>39007</v>
          </cell>
          <cell r="P45" t="str">
            <v>Unit</v>
          </cell>
          <cell r="Q45" t="str">
            <v>Units Fully Paid</v>
          </cell>
          <cell r="R45" t="str">
            <v>Australian Enhanced Income Fund</v>
          </cell>
          <cell r="S45">
            <v>592</v>
          </cell>
          <cell r="T45">
            <v>35</v>
          </cell>
          <cell r="U45">
            <v>625</v>
          </cell>
          <cell r="V45">
            <v>580</v>
          </cell>
          <cell r="X45" t="str">
            <v>AYF.ASX</v>
          </cell>
          <cell r="Y45">
            <v>588</v>
          </cell>
          <cell r="Z45" t="str">
            <v>AYF.ASX</v>
          </cell>
          <cell r="AA45">
            <v>615</v>
          </cell>
          <cell r="AB45" t="str">
            <v>AYF.ASX</v>
          </cell>
          <cell r="AC45">
            <v>611</v>
          </cell>
          <cell r="AD45" t="str">
            <v>AYF.ASX</v>
          </cell>
          <cell r="AE45">
            <v>635</v>
          </cell>
          <cell r="AF45" t="str">
            <v>AYF.ASX</v>
          </cell>
          <cell r="AG45">
            <v>580</v>
          </cell>
        </row>
        <row r="46">
          <cell r="A46" t="str">
            <v>AYK</v>
          </cell>
          <cell r="B46" t="str">
            <v>AYK.ASX</v>
          </cell>
          <cell r="C46" t="str">
            <v>AYK.ASX</v>
          </cell>
          <cell r="D46">
            <v>22</v>
          </cell>
          <cell r="E46">
            <v>117630.85000000002</v>
          </cell>
          <cell r="F46">
            <v>2090</v>
          </cell>
          <cell r="G46">
            <v>5885</v>
          </cell>
          <cell r="J46" t="str">
            <v>AYK.ASX</v>
          </cell>
          <cell r="K46" t="str">
            <v>AYK</v>
          </cell>
          <cell r="L46">
            <v>2</v>
          </cell>
          <cell r="M46">
            <v>20415868</v>
          </cell>
          <cell r="N46">
            <v>995896</v>
          </cell>
          <cell r="O46">
            <v>41578</v>
          </cell>
          <cell r="P46" t="str">
            <v>Fpo</v>
          </cell>
          <cell r="Q46" t="str">
            <v>Ordinary Fully Paid</v>
          </cell>
          <cell r="R46" t="str">
            <v>Australian Masters Yield Fund No 4 Limited</v>
          </cell>
          <cell r="S46">
            <v>2300</v>
          </cell>
          <cell r="T46">
            <v>116</v>
          </cell>
          <cell r="U46">
            <v>2321.6518821036098</v>
          </cell>
          <cell r="V46">
            <v>1900</v>
          </cell>
          <cell r="X46" t="str">
            <v>AYK.ASX</v>
          </cell>
          <cell r="Y46">
            <v>2000</v>
          </cell>
          <cell r="Z46" t="str">
            <v>AYK.ASX</v>
          </cell>
          <cell r="AA46">
            <v>2317.1467361486866</v>
          </cell>
          <cell r="AB46" t="str">
            <v>AYK.ASX</v>
          </cell>
          <cell r="AC46">
            <v>2319.1767992244067</v>
          </cell>
          <cell r="AD46" t="str">
            <v>AYK.ASX</v>
          </cell>
          <cell r="AE46">
            <v>629</v>
          </cell>
          <cell r="AF46" t="str">
            <v>AYK.ASX</v>
          </cell>
          <cell r="AG46">
            <v>2090</v>
          </cell>
        </row>
        <row r="47">
          <cell r="A47" t="str">
            <v>AYZ</v>
          </cell>
          <cell r="B47" t="str">
            <v>AYZ.ASX</v>
          </cell>
          <cell r="C47" t="str">
            <v>AYZ.ASX</v>
          </cell>
          <cell r="D47">
            <v>21</v>
          </cell>
          <cell r="E47">
            <v>286706.14</v>
          </cell>
          <cell r="F47">
            <v>5700</v>
          </cell>
          <cell r="G47">
            <v>5144</v>
          </cell>
          <cell r="J47" t="str">
            <v>AYZ.ASX</v>
          </cell>
          <cell r="K47" t="str">
            <v>AYZ</v>
          </cell>
          <cell r="L47">
            <v>2</v>
          </cell>
          <cell r="M47">
            <v>58235961.600000001</v>
          </cell>
          <cell r="N47">
            <v>1011041</v>
          </cell>
          <cell r="O47">
            <v>42221</v>
          </cell>
          <cell r="P47" t="str">
            <v>Fpo</v>
          </cell>
          <cell r="Q47" t="str">
            <v>Ordinary Fully Paid</v>
          </cell>
          <cell r="R47" t="str">
            <v>Australian Masters Yield Fund No 5 Limited</v>
          </cell>
          <cell r="S47">
            <v>5982</v>
          </cell>
          <cell r="T47">
            <v>199</v>
          </cell>
          <cell r="U47">
            <v>6060</v>
          </cell>
          <cell r="V47">
            <v>5399</v>
          </cell>
          <cell r="X47" t="str">
            <v>AYZ.ASX</v>
          </cell>
          <cell r="Y47">
            <v>5450</v>
          </cell>
          <cell r="Z47" t="str">
            <v>AYZ.ASX</v>
          </cell>
          <cell r="AA47">
            <v>6038</v>
          </cell>
          <cell r="AB47" t="str">
            <v>AYZ.ASX</v>
          </cell>
          <cell r="AC47">
            <v>1273.0829026300476</v>
          </cell>
          <cell r="AD47" t="str">
            <v>AYZ.ASX</v>
          </cell>
          <cell r="AF47" t="str">
            <v>AYZ.ASX</v>
          </cell>
          <cell r="AG47">
            <v>5700</v>
          </cell>
        </row>
        <row r="48">
          <cell r="A48" t="str">
            <v>CVF</v>
          </cell>
          <cell r="B48" t="str">
            <v>CVF.ASX</v>
          </cell>
          <cell r="C48" t="str">
            <v>CVF.ASX</v>
          </cell>
          <cell r="D48">
            <v>140</v>
          </cell>
          <cell r="E48">
            <v>1550847.46</v>
          </cell>
          <cell r="F48">
            <v>118</v>
          </cell>
          <cell r="G48">
            <v>1363039</v>
          </cell>
          <cell r="J48" t="str">
            <v>CVF.ASX</v>
          </cell>
          <cell r="K48" t="str">
            <v>CVF</v>
          </cell>
          <cell r="L48">
            <v>2</v>
          </cell>
          <cell r="M48">
            <v>82213126.379999995</v>
          </cell>
          <cell r="N48">
            <v>69672141</v>
          </cell>
          <cell r="O48">
            <v>42009</v>
          </cell>
          <cell r="P48" t="str">
            <v>Fpo</v>
          </cell>
          <cell r="Q48" t="str">
            <v>Ordinary Fully Paid</v>
          </cell>
          <cell r="R48" t="str">
            <v>Contrarian Value Fund Limited</v>
          </cell>
          <cell r="S48">
            <v>120</v>
          </cell>
          <cell r="T48">
            <v>7.5</v>
          </cell>
          <cell r="U48">
            <v>120.5</v>
          </cell>
          <cell r="V48">
            <v>88</v>
          </cell>
          <cell r="X48" t="str">
            <v>CVF.ASX</v>
          </cell>
          <cell r="Y48">
            <v>109.00000000000001</v>
          </cell>
          <cell r="Z48" t="str">
            <v>CVF.ASX</v>
          </cell>
          <cell r="AA48">
            <v>90</v>
          </cell>
          <cell r="AB48" t="str">
            <v>CVF.ASX</v>
          </cell>
          <cell r="AC48">
            <v>99</v>
          </cell>
          <cell r="AD48" t="str">
            <v>CVF.ASX</v>
          </cell>
          <cell r="AF48" t="str">
            <v>CVF.ASX</v>
          </cell>
          <cell r="AG48">
            <v>118</v>
          </cell>
        </row>
        <row r="49">
          <cell r="A49" t="str">
            <v>BAF</v>
          </cell>
          <cell r="B49" t="str">
            <v>BAF.ASX</v>
          </cell>
          <cell r="C49" t="str">
            <v>BAF.ASX</v>
          </cell>
          <cell r="D49">
            <v>1611</v>
          </cell>
          <cell r="E49">
            <v>8941177.2925000004</v>
          </cell>
          <cell r="F49">
            <v>80</v>
          </cell>
          <cell r="G49">
            <v>11696718</v>
          </cell>
          <cell r="J49" t="str">
            <v>BAF.ASX</v>
          </cell>
          <cell r="K49" t="str">
            <v>BAF</v>
          </cell>
          <cell r="L49">
            <v>2</v>
          </cell>
          <cell r="M49">
            <v>160021391.25</v>
          </cell>
          <cell r="N49">
            <v>213361855</v>
          </cell>
          <cell r="O49">
            <v>41806</v>
          </cell>
          <cell r="P49" t="str">
            <v>Fpo</v>
          </cell>
          <cell r="Q49" t="str">
            <v>Ordinary Fully Paid</v>
          </cell>
          <cell r="R49" t="str">
            <v>Blue Sky Alternatives Access Fund Limited</v>
          </cell>
          <cell r="S49">
            <v>111</v>
          </cell>
          <cell r="T49">
            <v>4.9632000923156738</v>
          </cell>
          <cell r="U49">
            <v>127.31780296564102</v>
          </cell>
          <cell r="V49">
            <v>68.5</v>
          </cell>
          <cell r="X49" t="str">
            <v>BAF.ASX</v>
          </cell>
          <cell r="Y49">
            <v>80</v>
          </cell>
          <cell r="Z49" t="str">
            <v>BAF.ASX</v>
          </cell>
          <cell r="AA49">
            <v>115.92360270023346</v>
          </cell>
          <cell r="AB49" t="str">
            <v>BAF.ASX</v>
          </cell>
          <cell r="AC49">
            <v>98.208095339492729</v>
          </cell>
          <cell r="AD49" t="str">
            <v>BAF.ASX</v>
          </cell>
          <cell r="AF49" t="str">
            <v>BAF.ASX</v>
          </cell>
          <cell r="AG49">
            <v>80</v>
          </cell>
        </row>
        <row r="50">
          <cell r="A50" t="str">
            <v>BBOZ</v>
          </cell>
          <cell r="B50" t="str">
            <v>BBOZ.AXW</v>
          </cell>
          <cell r="C50" t="str">
            <v>BBOZ.AXW</v>
          </cell>
          <cell r="D50">
            <v>1695</v>
          </cell>
          <cell r="E50">
            <v>40944734.639999993</v>
          </cell>
          <cell r="F50">
            <v>1373</v>
          </cell>
          <cell r="G50">
            <v>2881454</v>
          </cell>
          <cell r="J50" t="str">
            <v>BBOZ.AXW</v>
          </cell>
          <cell r="K50" t="str">
            <v>BBOZ</v>
          </cell>
          <cell r="L50">
            <v>2</v>
          </cell>
          <cell r="M50">
            <v>85187500</v>
          </cell>
          <cell r="N50">
            <v>6500000</v>
          </cell>
          <cell r="O50">
            <v>42114</v>
          </cell>
          <cell r="P50" t="str">
            <v>Tmf Units</v>
          </cell>
          <cell r="Q50" t="str">
            <v>Trading Managed Fund Units Fully Paid</v>
          </cell>
          <cell r="R50" t="str">
            <v>Betashares Australian Equities Strongbearhedgefund</v>
          </cell>
          <cell r="S50">
            <v>0</v>
          </cell>
          <cell r="U50">
            <v>1831</v>
          </cell>
          <cell r="V50">
            <v>1348</v>
          </cell>
          <cell r="X50" t="str">
            <v>BBOZ.AXW</v>
          </cell>
          <cell r="Y50">
            <v>1503</v>
          </cell>
          <cell r="Z50" t="str">
            <v>BBOZ.AXW</v>
          </cell>
          <cell r="AA50">
            <v>1770</v>
          </cell>
          <cell r="AB50" t="str">
            <v>BBOZ.AXW</v>
          </cell>
          <cell r="AC50">
            <v>2910</v>
          </cell>
          <cell r="AD50" t="str">
            <v>BBOZ.AXW</v>
          </cell>
          <cell r="AF50" t="str">
            <v>BBOZ.AXW</v>
          </cell>
          <cell r="AG50">
            <v>1373</v>
          </cell>
        </row>
        <row r="51">
          <cell r="A51" t="str">
            <v>BBUS</v>
          </cell>
          <cell r="B51" t="str">
            <v>BBUS.AXW</v>
          </cell>
          <cell r="C51" t="str">
            <v>BBUS.AXW</v>
          </cell>
          <cell r="D51">
            <v>1002</v>
          </cell>
          <cell r="E51">
            <v>19144807.980000004</v>
          </cell>
          <cell r="F51">
            <v>503</v>
          </cell>
          <cell r="G51">
            <v>3854084</v>
          </cell>
          <cell r="J51" t="str">
            <v>BBUS.AXW</v>
          </cell>
          <cell r="K51" t="str">
            <v>BBUS</v>
          </cell>
          <cell r="L51">
            <v>2</v>
          </cell>
          <cell r="M51">
            <v>55722000</v>
          </cell>
          <cell r="N51">
            <v>11775000</v>
          </cell>
          <cell r="O51">
            <v>42242</v>
          </cell>
          <cell r="P51" t="str">
            <v>Tmf Units</v>
          </cell>
          <cell r="Q51" t="str">
            <v>Trading Managed Fund Units Fully Paid</v>
          </cell>
          <cell r="R51" t="str">
            <v>Betashares Us Eq Strong Bear Hedged Fund</v>
          </cell>
          <cell r="S51">
            <v>0</v>
          </cell>
          <cell r="U51">
            <v>713</v>
          </cell>
          <cell r="V51">
            <v>456</v>
          </cell>
          <cell r="X51" t="str">
            <v>BBUS.AXW</v>
          </cell>
          <cell r="Y51">
            <v>518</v>
          </cell>
          <cell r="Z51" t="str">
            <v>BBUS.AXW</v>
          </cell>
          <cell r="AA51">
            <v>704</v>
          </cell>
          <cell r="AB51" t="str">
            <v>BBUS.AXW</v>
          </cell>
          <cell r="AD51" t="str">
            <v>BBUS.AXW</v>
          </cell>
          <cell r="AF51" t="str">
            <v>BBUS.AXW</v>
          </cell>
          <cell r="AG51">
            <v>503</v>
          </cell>
        </row>
        <row r="52">
          <cell r="A52" t="str">
            <v>BEAR</v>
          </cell>
          <cell r="B52" t="str">
            <v>BEAR.AXW</v>
          </cell>
          <cell r="C52" t="str">
            <v>BEAR.AXW</v>
          </cell>
          <cell r="D52">
            <v>528</v>
          </cell>
          <cell r="E52">
            <v>11329900.839999998</v>
          </cell>
          <cell r="F52">
            <v>1349</v>
          </cell>
          <cell r="G52">
            <v>831740</v>
          </cell>
          <cell r="J52" t="str">
            <v>BEAR.AXW</v>
          </cell>
          <cell r="K52" t="str">
            <v>BEAR</v>
          </cell>
          <cell r="L52">
            <v>2</v>
          </cell>
          <cell r="M52">
            <v>49099483.530000001</v>
          </cell>
          <cell r="N52">
            <v>3795099</v>
          </cell>
          <cell r="O52">
            <v>41099</v>
          </cell>
          <cell r="P52" t="str">
            <v>ETF Units</v>
          </cell>
          <cell r="Q52" t="str">
            <v>Exchange Traded Fund Units Fully Paid</v>
          </cell>
          <cell r="R52" t="str">
            <v>Betashares Australian Equities Bear Hedge Fund</v>
          </cell>
          <cell r="S52">
            <v>0</v>
          </cell>
          <cell r="U52">
            <v>1520</v>
          </cell>
          <cell r="V52">
            <v>1342</v>
          </cell>
          <cell r="X52" t="str">
            <v>BEAR.AXW</v>
          </cell>
          <cell r="Y52">
            <v>1407</v>
          </cell>
          <cell r="Z52" t="str">
            <v>BEAR.AXW</v>
          </cell>
          <cell r="AA52">
            <v>1497</v>
          </cell>
          <cell r="AB52" t="str">
            <v>BEAR.AXW</v>
          </cell>
          <cell r="AC52">
            <v>1746</v>
          </cell>
          <cell r="AD52" t="str">
            <v>BEAR.AXW</v>
          </cell>
          <cell r="AE52">
            <v>2055</v>
          </cell>
          <cell r="AF52" t="str">
            <v>BEAR.AXW</v>
          </cell>
          <cell r="AG52">
            <v>1349</v>
          </cell>
        </row>
        <row r="53">
          <cell r="A53" t="str">
            <v>BEL</v>
          </cell>
          <cell r="B53" t="str">
            <v>BEL.ASX</v>
          </cell>
          <cell r="C53" t="str">
            <v>BEL.ASX</v>
          </cell>
          <cell r="D53">
            <v>42</v>
          </cell>
          <cell r="E53">
            <v>118956.409</v>
          </cell>
          <cell r="F53">
            <v>9.5</v>
          </cell>
          <cell r="G53">
            <v>1173470</v>
          </cell>
          <cell r="J53" t="str">
            <v>BEL.ASX</v>
          </cell>
          <cell r="K53" t="str">
            <v>BEL</v>
          </cell>
          <cell r="L53">
            <v>2</v>
          </cell>
          <cell r="M53">
            <v>7993431.3899999997</v>
          </cell>
          <cell r="N53">
            <v>76127918</v>
          </cell>
          <cell r="O53">
            <v>31723</v>
          </cell>
          <cell r="P53" t="str">
            <v>Fpo</v>
          </cell>
          <cell r="Q53" t="str">
            <v>Ordinary Fully Paid</v>
          </cell>
          <cell r="R53" t="str">
            <v>Bentley Capital Limited</v>
          </cell>
          <cell r="S53">
            <v>15</v>
          </cell>
          <cell r="T53">
            <v>1</v>
          </cell>
          <cell r="U53">
            <v>13</v>
          </cell>
          <cell r="V53">
            <v>9.1</v>
          </cell>
          <cell r="X53" t="str">
            <v>BEL.ASX</v>
          </cell>
          <cell r="Y53">
            <v>11.5</v>
          </cell>
          <cell r="Z53" t="str">
            <v>BEL.ASX</v>
          </cell>
          <cell r="AA53">
            <v>10</v>
          </cell>
          <cell r="AB53" t="str">
            <v>BEL.ASX</v>
          </cell>
          <cell r="AC53">
            <v>13</v>
          </cell>
          <cell r="AD53" t="str">
            <v>BEL.ASX</v>
          </cell>
          <cell r="AE53">
            <v>13.564750373363493</v>
          </cell>
          <cell r="AF53" t="str">
            <v>BEL.ASX</v>
          </cell>
          <cell r="AG53">
            <v>9.5</v>
          </cell>
        </row>
        <row r="54">
          <cell r="A54" t="str">
            <v>BKI</v>
          </cell>
          <cell r="B54" t="str">
            <v>BKI.ASX</v>
          </cell>
          <cell r="C54" t="str">
            <v>BKI.ASX</v>
          </cell>
          <cell r="D54">
            <v>1033</v>
          </cell>
          <cell r="E54">
            <v>13829179.457500003</v>
          </cell>
          <cell r="F54">
            <v>152.5</v>
          </cell>
          <cell r="G54">
            <v>9092514</v>
          </cell>
          <cell r="J54" t="str">
            <v>BKI.ASX</v>
          </cell>
          <cell r="K54" t="str">
            <v>BKI</v>
          </cell>
          <cell r="L54">
            <v>2</v>
          </cell>
          <cell r="M54">
            <v>1109726445.0599999</v>
          </cell>
          <cell r="N54">
            <v>725311402</v>
          </cell>
          <cell r="O54">
            <v>37967</v>
          </cell>
          <cell r="P54" t="str">
            <v>Fpo</v>
          </cell>
          <cell r="Q54" t="str">
            <v>Ordinary Fully Paid</v>
          </cell>
          <cell r="R54" t="str">
            <v>BKI Investment Company Limited</v>
          </cell>
          <cell r="S54">
            <v>150</v>
          </cell>
          <cell r="T54">
            <v>7.3162098512053486</v>
          </cell>
          <cell r="U54">
            <v>177.28699639439583</v>
          </cell>
          <cell r="V54">
            <v>150</v>
          </cell>
          <cell r="X54" t="str">
            <v>BKI.ASX</v>
          </cell>
          <cell r="Y54">
            <v>150.5</v>
          </cell>
          <cell r="Z54" t="str">
            <v>BKI.ASX</v>
          </cell>
          <cell r="AA54">
            <v>161.8055967092514</v>
          </cell>
          <cell r="AB54" t="str">
            <v>BKI.ASX</v>
          </cell>
          <cell r="AC54">
            <v>166.30019661784172</v>
          </cell>
          <cell r="AD54" t="str">
            <v>BKI.ASX</v>
          </cell>
          <cell r="AE54">
            <v>141.37574317572469</v>
          </cell>
          <cell r="AF54" t="str">
            <v>BKI.ASX</v>
          </cell>
          <cell r="AG54">
            <v>152.5</v>
          </cell>
        </row>
        <row r="55">
          <cell r="A55" t="str">
            <v>BNKS</v>
          </cell>
          <cell r="B55" t="str">
            <v>BNKS.AXW</v>
          </cell>
          <cell r="C55" t="str">
            <v>BNKS.AXW</v>
          </cell>
          <cell r="D55">
            <v>420</v>
          </cell>
          <cell r="E55">
            <v>10974190.490000002</v>
          </cell>
          <cell r="F55">
            <v>690</v>
          </cell>
          <cell r="G55">
            <v>1560293</v>
          </cell>
          <cell r="J55" t="str">
            <v>BNKS.AXW</v>
          </cell>
          <cell r="K55" t="str">
            <v>BNKS</v>
          </cell>
          <cell r="L55">
            <v>2</v>
          </cell>
          <cell r="M55">
            <v>69602893.799999997</v>
          </cell>
          <cell r="N55">
            <v>10404020</v>
          </cell>
          <cell r="O55">
            <v>42583</v>
          </cell>
          <cell r="P55" t="str">
            <v>ETF Units</v>
          </cell>
          <cell r="Q55" t="str">
            <v>Exchange Traded Fund Units Fully Paid</v>
          </cell>
          <cell r="R55" t="str">
            <v>Betashares Global Banks ETF</v>
          </cell>
          <cell r="S55">
            <v>0</v>
          </cell>
          <cell r="T55">
            <v>26.565200000000001</v>
          </cell>
          <cell r="U55">
            <v>812</v>
          </cell>
          <cell r="V55">
            <v>665</v>
          </cell>
          <cell r="X55" t="str">
            <v>BNKS.AXW</v>
          </cell>
          <cell r="Y55">
            <v>706</v>
          </cell>
          <cell r="Z55" t="str">
            <v>BNKS.AXW</v>
          </cell>
          <cell r="AA55">
            <v>696</v>
          </cell>
          <cell r="AB55" t="str">
            <v>BNKS.AXW</v>
          </cell>
          <cell r="AC55">
            <v>160.488000869751</v>
          </cell>
          <cell r="AD55" t="str">
            <v>BNKS.AXW</v>
          </cell>
          <cell r="AE55">
            <v>122.643346317056</v>
          </cell>
          <cell r="AF55" t="str">
            <v>BNKS.AXW</v>
          </cell>
          <cell r="AG55">
            <v>690</v>
          </cell>
        </row>
        <row r="56">
          <cell r="A56" t="str">
            <v>BOND</v>
          </cell>
          <cell r="B56" t="str">
            <v>BOND.AXW</v>
          </cell>
          <cell r="C56" t="str">
            <v>BOND.AXW</v>
          </cell>
          <cell r="D56">
            <v>40</v>
          </cell>
          <cell r="E56">
            <v>1302209.4399999997</v>
          </cell>
          <cell r="F56">
            <v>2564</v>
          </cell>
          <cell r="G56">
            <v>50810</v>
          </cell>
          <cell r="J56" t="str">
            <v>BOND.AXW</v>
          </cell>
          <cell r="K56" t="str">
            <v>BOND</v>
          </cell>
          <cell r="L56">
            <v>2</v>
          </cell>
          <cell r="M56">
            <v>23546940.57</v>
          </cell>
          <cell r="N56">
            <v>915867</v>
          </cell>
          <cell r="O56">
            <v>41117</v>
          </cell>
          <cell r="P56" t="str">
            <v>ETF Units</v>
          </cell>
          <cell r="Q56" t="str">
            <v>Exchange Traded Fund Units Fully Paid</v>
          </cell>
          <cell r="R56" t="str">
            <v>SPDR S&amp;P/ASX Australian Bond Fund</v>
          </cell>
          <cell r="S56">
            <v>0</v>
          </cell>
          <cell r="T56">
            <v>65.646000000000001</v>
          </cell>
          <cell r="U56">
            <v>2596</v>
          </cell>
          <cell r="V56">
            <v>2536</v>
          </cell>
          <cell r="X56" t="str">
            <v>BOND.AXW</v>
          </cell>
          <cell r="Y56">
            <v>2575</v>
          </cell>
          <cell r="Z56" t="str">
            <v>BOND.AXW</v>
          </cell>
          <cell r="AA56">
            <v>2565</v>
          </cell>
          <cell r="AB56" t="str">
            <v>BOND.AXW</v>
          </cell>
          <cell r="AC56">
            <v>2580</v>
          </cell>
          <cell r="AD56" t="str">
            <v>BOND.AXW</v>
          </cell>
          <cell r="AE56">
            <v>2457</v>
          </cell>
          <cell r="AF56" t="str">
            <v>BOND.AXW</v>
          </cell>
          <cell r="AG56">
            <v>2564</v>
          </cell>
        </row>
        <row r="57">
          <cell r="A57" t="str">
            <v>BILL</v>
          </cell>
          <cell r="B57" t="str">
            <v>BILL.AXW</v>
          </cell>
          <cell r="C57" t="str">
            <v>BILL.AXW</v>
          </cell>
          <cell r="D57">
            <v>550</v>
          </cell>
          <cell r="E57">
            <v>10978012.140000004</v>
          </cell>
          <cell r="F57">
            <v>10031</v>
          </cell>
          <cell r="G57">
            <v>109517</v>
          </cell>
          <cell r="J57" t="str">
            <v>BILL.AXW</v>
          </cell>
          <cell r="K57" t="str">
            <v>BILL</v>
          </cell>
          <cell r="L57">
            <v>2</v>
          </cell>
          <cell r="M57">
            <v>190751627.43000001</v>
          </cell>
          <cell r="N57">
            <v>1964291</v>
          </cell>
          <cell r="O57">
            <v>42892</v>
          </cell>
          <cell r="P57" t="str">
            <v>ETF Units</v>
          </cell>
          <cell r="Q57" t="str">
            <v>Exchange Traded Fund Units Fully Paid</v>
          </cell>
          <cell r="R57" t="str">
            <v>Ishares Core Cash ETF</v>
          </cell>
          <cell r="S57">
            <v>0</v>
          </cell>
          <cell r="T57">
            <v>150.91829999999999</v>
          </cell>
          <cell r="U57">
            <v>10034</v>
          </cell>
          <cell r="V57">
            <v>10006</v>
          </cell>
          <cell r="X57" t="str">
            <v>BILL.AXW</v>
          </cell>
          <cell r="Y57">
            <v>10031</v>
          </cell>
          <cell r="Z57" t="str">
            <v>BILL.AXW</v>
          </cell>
          <cell r="AA57">
            <v>10010</v>
          </cell>
          <cell r="AB57" t="str">
            <v>BILL.AXW</v>
          </cell>
          <cell r="AC57">
            <v>158.5</v>
          </cell>
          <cell r="AD57" t="str">
            <v>BILL.AXW</v>
          </cell>
          <cell r="AE57">
            <v>136.60770121566165</v>
          </cell>
          <cell r="AF57" t="str">
            <v>BILL.AXW</v>
          </cell>
          <cell r="AG57">
            <v>10031</v>
          </cell>
        </row>
        <row r="58">
          <cell r="A58" t="str">
            <v>BHD</v>
          </cell>
          <cell r="B58" t="str">
            <v>BHD.ASX</v>
          </cell>
          <cell r="C58" t="str">
            <v>BHD.ASX</v>
          </cell>
          <cell r="D58">
            <v>155</v>
          </cell>
          <cell r="E58">
            <v>502929.15</v>
          </cell>
          <cell r="F58">
            <v>71</v>
          </cell>
          <cell r="G58">
            <v>711426</v>
          </cell>
          <cell r="J58" t="str">
            <v>BHD.ASX</v>
          </cell>
          <cell r="K58" t="str">
            <v>BHD</v>
          </cell>
          <cell r="L58">
            <v>2</v>
          </cell>
          <cell r="M58">
            <v>17150221.109999999</v>
          </cell>
          <cell r="N58">
            <v>24155241</v>
          </cell>
          <cell r="O58">
            <v>42867</v>
          </cell>
          <cell r="P58" t="str">
            <v>Fpo</v>
          </cell>
          <cell r="Q58" t="str">
            <v>Ordinary Fully Paid</v>
          </cell>
          <cell r="R58" t="str">
            <v>Benjamin Hornigold Limited</v>
          </cell>
          <cell r="S58">
            <v>105</v>
          </cell>
          <cell r="U58">
            <v>106</v>
          </cell>
          <cell r="V58">
            <v>64.5</v>
          </cell>
          <cell r="X58" t="str">
            <v>BHD.ASX</v>
          </cell>
          <cell r="Y58">
            <v>76</v>
          </cell>
          <cell r="Z58" t="str">
            <v>BHD.ASX</v>
          </cell>
          <cell r="AA58">
            <v>88.001098215579987</v>
          </cell>
          <cell r="AB58" t="str">
            <v>BHD.ASX</v>
          </cell>
          <cell r="AD58" t="str">
            <v>BHD.ASX</v>
          </cell>
          <cell r="AF58" t="str">
            <v>BHD.ASX</v>
          </cell>
          <cell r="AG58">
            <v>71</v>
          </cell>
        </row>
        <row r="59">
          <cell r="A59" t="str">
            <v>PL8</v>
          </cell>
          <cell r="B59" t="str">
            <v>PL8.ASX</v>
          </cell>
          <cell r="C59" t="str">
            <v>PL8.ASX</v>
          </cell>
          <cell r="D59">
            <v>841</v>
          </cell>
          <cell r="E59">
            <v>6907451.4450000003</v>
          </cell>
          <cell r="F59">
            <v>102.49999999999999</v>
          </cell>
          <cell r="G59">
            <v>6762120</v>
          </cell>
          <cell r="J59" t="str">
            <v>PL8.ASX</v>
          </cell>
          <cell r="K59" t="str">
            <v>PL8</v>
          </cell>
          <cell r="L59">
            <v>2</v>
          </cell>
          <cell r="M59">
            <v>305518352.80000001</v>
          </cell>
          <cell r="N59">
            <v>296619760</v>
          </cell>
          <cell r="O59">
            <v>42860</v>
          </cell>
          <cell r="P59" t="str">
            <v>Fpo</v>
          </cell>
          <cell r="Q59" t="str">
            <v>Ordinary Fully Paid</v>
          </cell>
          <cell r="R59" t="str">
            <v>Plato Income Maximiser Limited</v>
          </cell>
          <cell r="S59">
            <v>108</v>
          </cell>
          <cell r="T59">
            <v>4.2</v>
          </cell>
          <cell r="U59">
            <v>114</v>
          </cell>
          <cell r="V59">
            <v>95.5</v>
          </cell>
          <cell r="X59" t="str">
            <v>PL8.ASX</v>
          </cell>
          <cell r="Y59">
            <v>101.49999999999999</v>
          </cell>
          <cell r="Z59" t="str">
            <v>PL8.ASX</v>
          </cell>
          <cell r="AA59">
            <v>109.5</v>
          </cell>
          <cell r="AB59" t="str">
            <v>PL8.ASX</v>
          </cell>
          <cell r="AC59">
            <v>2617</v>
          </cell>
          <cell r="AD59" t="str">
            <v>PL8.ASX</v>
          </cell>
          <cell r="AE59">
            <v>2477</v>
          </cell>
          <cell r="AF59" t="str">
            <v>PL8.ASX</v>
          </cell>
          <cell r="AG59">
            <v>102.49999999999999</v>
          </cell>
        </row>
        <row r="60">
          <cell r="A60" t="str">
            <v>MEC</v>
          </cell>
          <cell r="B60" t="str">
            <v>MEC.ASX</v>
          </cell>
          <cell r="C60" t="str">
            <v>MEC.ASX</v>
          </cell>
          <cell r="D60">
            <v>236</v>
          </cell>
          <cell r="E60">
            <v>1596926.9000000004</v>
          </cell>
          <cell r="F60">
            <v>103.49999999999999</v>
          </cell>
          <cell r="G60">
            <v>1563250</v>
          </cell>
          <cell r="J60" t="str">
            <v>MEC.ASX</v>
          </cell>
          <cell r="K60" t="str">
            <v>MEC</v>
          </cell>
          <cell r="L60">
            <v>2</v>
          </cell>
          <cell r="M60">
            <v>47298396.079999998</v>
          </cell>
          <cell r="N60">
            <v>45479227</v>
          </cell>
          <cell r="O60">
            <v>42858</v>
          </cell>
          <cell r="P60" t="str">
            <v>Fpo</v>
          </cell>
          <cell r="Q60" t="str">
            <v>Ordinary Fully Paid</v>
          </cell>
          <cell r="R60" t="str">
            <v>Morphic Ethical Equities Fund Limited</v>
          </cell>
          <cell r="S60">
            <v>114</v>
          </cell>
          <cell r="T60">
            <v>1</v>
          </cell>
          <cell r="U60">
            <v>116</v>
          </cell>
          <cell r="V60">
            <v>97.5</v>
          </cell>
          <cell r="X60" t="str">
            <v>MEC.ASX</v>
          </cell>
          <cell r="Y60">
            <v>103.49999999999999</v>
          </cell>
          <cell r="Z60" t="str">
            <v>MEC.ASX</v>
          </cell>
          <cell r="AA60">
            <v>111.00000000000001</v>
          </cell>
          <cell r="AB60" t="str">
            <v>MEC.ASX</v>
          </cell>
          <cell r="AC60">
            <v>4.3055999279022217</v>
          </cell>
          <cell r="AD60" t="str">
            <v>MEC.ASX</v>
          </cell>
          <cell r="AE60">
            <v>15.069599747657776</v>
          </cell>
          <cell r="AF60" t="str">
            <v>MEC.ASX</v>
          </cell>
          <cell r="AG60">
            <v>103.49999999999999</v>
          </cell>
        </row>
        <row r="61">
          <cell r="A61" t="str">
            <v>PLG</v>
          </cell>
          <cell r="B61" t="str">
            <v>PLG.ASX</v>
          </cell>
          <cell r="C61" t="str">
            <v>PLG.ASX</v>
          </cell>
          <cell r="D61">
            <v>11079</v>
          </cell>
          <cell r="E61">
            <v>12149441.624999998</v>
          </cell>
          <cell r="F61">
            <v>106</v>
          </cell>
          <cell r="G61">
            <v>11417810</v>
          </cell>
          <cell r="J61" t="str">
            <v>PLG.ASX</v>
          </cell>
          <cell r="K61" t="str">
            <v>PLG</v>
          </cell>
          <cell r="L61">
            <v>2</v>
          </cell>
          <cell r="M61">
            <v>398738970</v>
          </cell>
          <cell r="N61">
            <v>602780329</v>
          </cell>
          <cell r="O61">
            <v>42587</v>
          </cell>
          <cell r="P61" t="str">
            <v>Forus</v>
          </cell>
          <cell r="Q61" t="str">
            <v>Stapled Securities Us Prohibited</v>
          </cell>
          <cell r="R61" t="str">
            <v>Propertylink Group</v>
          </cell>
          <cell r="S61">
            <v>98</v>
          </cell>
          <cell r="T61">
            <v>7.3000000000000007</v>
          </cell>
          <cell r="U61">
            <v>112</v>
          </cell>
          <cell r="V61">
            <v>81</v>
          </cell>
          <cell r="X61" t="str">
            <v>PLG.ASX</v>
          </cell>
          <cell r="Y61">
            <v>104.5</v>
          </cell>
          <cell r="Z61" t="str">
            <v>PLG.ASX</v>
          </cell>
          <cell r="AA61">
            <v>84.5</v>
          </cell>
          <cell r="AB61" t="str">
            <v>PLG.ASX</v>
          </cell>
          <cell r="AC61">
            <v>90</v>
          </cell>
          <cell r="AD61" t="str">
            <v>PLG.ASX</v>
          </cell>
          <cell r="AF61" t="str">
            <v>PLG.ASX</v>
          </cell>
          <cell r="AG61">
            <v>106</v>
          </cell>
        </row>
        <row r="62">
          <cell r="A62" t="str">
            <v>BST</v>
          </cell>
          <cell r="B62" t="str">
            <v>BST.ASX</v>
          </cell>
          <cell r="C62" t="str">
            <v>BST.ASX</v>
          </cell>
          <cell r="D62">
            <v>56</v>
          </cell>
          <cell r="E62">
            <v>349998.22000000003</v>
          </cell>
          <cell r="F62">
            <v>98.5</v>
          </cell>
          <cell r="G62">
            <v>373347</v>
          </cell>
          <cell r="J62" t="str">
            <v>BST.ASX</v>
          </cell>
          <cell r="K62" t="str">
            <v>BST</v>
          </cell>
          <cell r="L62">
            <v>2</v>
          </cell>
          <cell r="M62">
            <v>18043272.355</v>
          </cell>
          <cell r="N62">
            <v>18318043</v>
          </cell>
          <cell r="O62">
            <v>41865</v>
          </cell>
          <cell r="P62" t="str">
            <v>Fpo</v>
          </cell>
          <cell r="Q62" t="str">
            <v>Ordinary Fully Paid</v>
          </cell>
          <cell r="R62" t="str">
            <v>Barrack St Investments Limited</v>
          </cell>
          <cell r="S62">
            <v>115</v>
          </cell>
          <cell r="T62">
            <v>2.75</v>
          </cell>
          <cell r="U62">
            <v>100</v>
          </cell>
          <cell r="V62">
            <v>83</v>
          </cell>
          <cell r="X62" t="str">
            <v>BST.ASX</v>
          </cell>
          <cell r="Y62">
            <v>91</v>
          </cell>
          <cell r="Z62" t="str">
            <v>BST.ASX</v>
          </cell>
          <cell r="AA62">
            <v>88.5</v>
          </cell>
          <cell r="AB62" t="str">
            <v>BST.ASX</v>
          </cell>
          <cell r="AC62">
            <v>80</v>
          </cell>
          <cell r="AD62" t="str">
            <v>BST.ASX</v>
          </cell>
          <cell r="AE62">
            <v>3.5000000000000004</v>
          </cell>
          <cell r="AF62" t="str">
            <v>BST.ASX</v>
          </cell>
          <cell r="AG62">
            <v>98.5</v>
          </cell>
        </row>
        <row r="63">
          <cell r="A63" t="str">
            <v>BSN</v>
          </cell>
          <cell r="B63" t="str">
            <v>BSN.ASX</v>
          </cell>
          <cell r="C63" t="str">
            <v>BSN.ASX</v>
          </cell>
          <cell r="D63">
            <v>0</v>
          </cell>
          <cell r="E63">
            <v>0</v>
          </cell>
          <cell r="F63">
            <v>0.5</v>
          </cell>
          <cell r="G63">
            <v>0</v>
          </cell>
          <cell r="J63" t="str">
            <v>BSN.ASX</v>
          </cell>
          <cell r="K63" t="str">
            <v>BSN</v>
          </cell>
          <cell r="L63">
            <v>2</v>
          </cell>
          <cell r="M63">
            <v>519422.46500000003</v>
          </cell>
          <cell r="N63">
            <v>103884493</v>
          </cell>
          <cell r="O63">
            <v>31806</v>
          </cell>
          <cell r="P63" t="str">
            <v>Fpo</v>
          </cell>
          <cell r="Q63" t="str">
            <v>Ordinary Fully Paid</v>
          </cell>
          <cell r="R63" t="str">
            <v>Bisan Limited</v>
          </cell>
          <cell r="S63">
            <v>0</v>
          </cell>
          <cell r="T63">
            <v>0</v>
          </cell>
          <cell r="U63">
            <v>0.6</v>
          </cell>
          <cell r="V63">
            <v>0.4</v>
          </cell>
          <cell r="X63" t="str">
            <v>BSN.ASX</v>
          </cell>
          <cell r="Y63">
            <v>0.5</v>
          </cell>
          <cell r="Z63" t="str">
            <v>BSN.ASX</v>
          </cell>
          <cell r="AA63">
            <v>1.3</v>
          </cell>
          <cell r="AB63" t="str">
            <v>BSN.ASX</v>
          </cell>
          <cell r="AC63">
            <v>4</v>
          </cell>
          <cell r="AD63" t="str">
            <v>BSN.ASX</v>
          </cell>
          <cell r="AE63">
            <v>12.916799783706667</v>
          </cell>
          <cell r="AF63" t="str">
            <v>BSN.ASX</v>
          </cell>
          <cell r="AG63">
            <v>0.5</v>
          </cell>
        </row>
        <row r="64">
          <cell r="A64" t="str">
            <v>BTI</v>
          </cell>
          <cell r="B64" t="str">
            <v>BTI.ASX</v>
          </cell>
          <cell r="C64" t="str">
            <v>BTI.ASX</v>
          </cell>
          <cell r="D64">
            <v>372</v>
          </cell>
          <cell r="E64">
            <v>1740078.2049999996</v>
          </cell>
          <cell r="F64">
            <v>74</v>
          </cell>
          <cell r="G64">
            <v>2279485</v>
          </cell>
          <cell r="J64" t="str">
            <v>BTI.ASX</v>
          </cell>
          <cell r="K64" t="str">
            <v>BTI</v>
          </cell>
          <cell r="L64">
            <v>2</v>
          </cell>
          <cell r="M64">
            <v>95597025.644999996</v>
          </cell>
          <cell r="N64">
            <v>120247831</v>
          </cell>
          <cell r="O64">
            <v>41964</v>
          </cell>
          <cell r="P64" t="str">
            <v>Fpo</v>
          </cell>
          <cell r="Q64" t="str">
            <v>Ordinary Fully Paid</v>
          </cell>
          <cell r="R64" t="str">
            <v>Bailador Technology Investments Limited</v>
          </cell>
          <cell r="S64">
            <v>103</v>
          </cell>
          <cell r="U64">
            <v>98</v>
          </cell>
          <cell r="V64">
            <v>74</v>
          </cell>
          <cell r="X64" t="str">
            <v>BTI.ASX</v>
          </cell>
          <cell r="Y64">
            <v>79</v>
          </cell>
          <cell r="Z64" t="str">
            <v>BTI.ASX</v>
          </cell>
          <cell r="AA64">
            <v>90</v>
          </cell>
          <cell r="AB64" t="str">
            <v>BTI.ASX</v>
          </cell>
          <cell r="AC64">
            <v>91</v>
          </cell>
          <cell r="AD64" t="str">
            <v>BTI.ASX</v>
          </cell>
          <cell r="AE64">
            <v>13</v>
          </cell>
          <cell r="AF64" t="str">
            <v>BTI.ASX</v>
          </cell>
          <cell r="AG64">
            <v>74</v>
          </cell>
        </row>
        <row r="65">
          <cell r="A65" t="str">
            <v>BTC</v>
          </cell>
          <cell r="B65" t="str">
            <v>BTC.ASX</v>
          </cell>
          <cell r="C65" t="str">
            <v>BTC.ASX</v>
          </cell>
          <cell r="D65">
            <v>43</v>
          </cell>
          <cell r="E65">
            <v>168971.30500000002</v>
          </cell>
          <cell r="F65">
            <v>20</v>
          </cell>
          <cell r="G65">
            <v>931615</v>
          </cell>
          <cell r="J65" t="str">
            <v>BTC.ASX</v>
          </cell>
          <cell r="K65" t="str">
            <v>BTC</v>
          </cell>
          <cell r="L65">
            <v>2</v>
          </cell>
          <cell r="M65">
            <v>24104858.420000002</v>
          </cell>
          <cell r="N65">
            <v>130296532</v>
          </cell>
          <cell r="O65">
            <v>36767</v>
          </cell>
          <cell r="P65" t="str">
            <v>Fpo</v>
          </cell>
          <cell r="Q65" t="str">
            <v>Ordinary Fully Paid</v>
          </cell>
          <cell r="R65" t="str">
            <v>BTC Health Ltd</v>
          </cell>
          <cell r="S65">
            <v>2</v>
          </cell>
          <cell r="U65">
            <v>24</v>
          </cell>
          <cell r="V65">
            <v>15</v>
          </cell>
          <cell r="X65" t="str">
            <v>BTC.ASX</v>
          </cell>
          <cell r="Y65">
            <v>18.5</v>
          </cell>
          <cell r="Z65" t="str">
            <v>BTC.ASX</v>
          </cell>
          <cell r="AA65">
            <v>16</v>
          </cell>
          <cell r="AB65" t="str">
            <v>BTC.ASX</v>
          </cell>
          <cell r="AC65">
            <v>10</v>
          </cell>
          <cell r="AD65" t="str">
            <v>BTC.ASX</v>
          </cell>
          <cell r="AE65">
            <v>2</v>
          </cell>
          <cell r="AF65" t="str">
            <v>BTC.ASX</v>
          </cell>
          <cell r="AG65">
            <v>20</v>
          </cell>
        </row>
        <row r="66">
          <cell r="A66" t="str">
            <v>BWF</v>
          </cell>
          <cell r="B66" t="str">
            <v>BWF.ASX</v>
          </cell>
          <cell r="C66" t="str">
            <v>BWF.ASX</v>
          </cell>
          <cell r="D66">
            <v>49</v>
          </cell>
          <cell r="E66">
            <v>141002.37500000003</v>
          </cell>
          <cell r="F66">
            <v>95</v>
          </cell>
          <cell r="G66">
            <v>151464</v>
          </cell>
          <cell r="J66" t="str">
            <v>BWF.ASX</v>
          </cell>
          <cell r="K66" t="str">
            <v>BWF</v>
          </cell>
          <cell r="L66">
            <v>2</v>
          </cell>
          <cell r="M66">
            <v>55546804.950000003</v>
          </cell>
          <cell r="N66">
            <v>61040445</v>
          </cell>
          <cell r="O66">
            <v>40837</v>
          </cell>
          <cell r="P66" t="str">
            <v>Fpo</v>
          </cell>
          <cell r="Q66" t="str">
            <v>Ordinary Fully Paid</v>
          </cell>
          <cell r="R66" t="str">
            <v>Blackwall Limited</v>
          </cell>
          <cell r="S66">
            <v>49</v>
          </cell>
          <cell r="T66">
            <v>3.7</v>
          </cell>
          <cell r="U66">
            <v>108</v>
          </cell>
          <cell r="V66">
            <v>81</v>
          </cell>
          <cell r="X66" t="str">
            <v>BWF.ASX</v>
          </cell>
          <cell r="Y66">
            <v>93</v>
          </cell>
          <cell r="Z66" t="str">
            <v>BWF.ASX</v>
          </cell>
          <cell r="AA66">
            <v>90</v>
          </cell>
          <cell r="AB66" t="str">
            <v>BWF.ASX</v>
          </cell>
          <cell r="AC66">
            <v>33</v>
          </cell>
          <cell r="AD66" t="str">
            <v>BWF.ASX</v>
          </cell>
          <cell r="AE66">
            <v>13.5</v>
          </cell>
          <cell r="AF66" t="str">
            <v>BWF.ASX</v>
          </cell>
          <cell r="AG66">
            <v>95</v>
          </cell>
        </row>
        <row r="67">
          <cell r="A67" t="str">
            <v>BWP</v>
          </cell>
          <cell r="B67" t="str">
            <v>BWP.ASX</v>
          </cell>
          <cell r="C67" t="str">
            <v>BWP.ASX</v>
          </cell>
          <cell r="D67">
            <v>45437</v>
          </cell>
          <cell r="E67">
            <v>124988172.91079997</v>
          </cell>
          <cell r="F67">
            <v>325</v>
          </cell>
          <cell r="G67">
            <v>38450184</v>
          </cell>
          <cell r="J67" t="str">
            <v>BWP.ASX</v>
          </cell>
          <cell r="K67" t="str">
            <v>BWP</v>
          </cell>
          <cell r="L67">
            <v>2</v>
          </cell>
          <cell r="M67">
            <v>1595255907.96</v>
          </cell>
          <cell r="N67">
            <v>642383803</v>
          </cell>
          <cell r="O67">
            <v>36054</v>
          </cell>
          <cell r="P67" t="str">
            <v>Ord Units</v>
          </cell>
          <cell r="Q67" t="str">
            <v>Ordinary Units Fully Paid</v>
          </cell>
          <cell r="R67" t="str">
            <v>BWP Trust</v>
          </cell>
          <cell r="S67">
            <v>282</v>
          </cell>
          <cell r="T67">
            <v>17.78</v>
          </cell>
          <cell r="U67">
            <v>335</v>
          </cell>
          <cell r="V67">
            <v>282</v>
          </cell>
          <cell r="X67" t="str">
            <v>BWP.ASX</v>
          </cell>
          <cell r="Y67">
            <v>320</v>
          </cell>
          <cell r="Z67" t="str">
            <v>BWP.ASX</v>
          </cell>
          <cell r="AA67">
            <v>298</v>
          </cell>
          <cell r="AB67" t="str">
            <v>BWP.ASX</v>
          </cell>
          <cell r="AC67">
            <v>306</v>
          </cell>
          <cell r="AD67" t="str">
            <v>BWP.ASX</v>
          </cell>
          <cell r="AE67">
            <v>223.56000244617462</v>
          </cell>
          <cell r="AF67" t="str">
            <v>BWP.ASX</v>
          </cell>
          <cell r="AG67">
            <v>325</v>
          </cell>
        </row>
        <row r="68">
          <cell r="A68" t="str">
            <v>BWR</v>
          </cell>
          <cell r="B68" t="str">
            <v>BWR.ASX</v>
          </cell>
          <cell r="C68" t="str">
            <v>BWR.ASX</v>
          </cell>
          <cell r="D68">
            <v>40</v>
          </cell>
          <cell r="E68">
            <v>230483.79</v>
          </cell>
          <cell r="F68">
            <v>145</v>
          </cell>
          <cell r="G68">
            <v>160875</v>
          </cell>
          <cell r="J68" t="str">
            <v>BWR.ASX</v>
          </cell>
          <cell r="K68" t="str">
            <v>BWR</v>
          </cell>
          <cell r="L68">
            <v>2</v>
          </cell>
          <cell r="M68">
            <v>99953067</v>
          </cell>
          <cell r="N68">
            <v>66635378</v>
          </cell>
          <cell r="O68">
            <v>40844</v>
          </cell>
          <cell r="P68" t="str">
            <v>Units</v>
          </cell>
          <cell r="Q68" t="str">
            <v>Ordinary Units Fully Paid</v>
          </cell>
          <cell r="R68" t="str">
            <v>Blackwall Property Trust</v>
          </cell>
          <cell r="S68">
            <v>141</v>
          </cell>
          <cell r="T68">
            <v>11.5</v>
          </cell>
          <cell r="U68">
            <v>155</v>
          </cell>
          <cell r="V68">
            <v>123</v>
          </cell>
          <cell r="X68" t="str">
            <v>BWR.ASX</v>
          </cell>
          <cell r="Y68">
            <v>140</v>
          </cell>
          <cell r="Z68" t="str">
            <v>BWR.ASX</v>
          </cell>
          <cell r="AA68">
            <v>130</v>
          </cell>
          <cell r="AB68" t="str">
            <v>BWR.ASX</v>
          </cell>
          <cell r="AC68">
            <v>122.88859672643935</v>
          </cell>
          <cell r="AD68" t="str">
            <v>BWR.ASX</v>
          </cell>
          <cell r="AE68">
            <v>85.168341822319107</v>
          </cell>
          <cell r="AF68" t="str">
            <v>BWR.ASX</v>
          </cell>
          <cell r="AG68">
            <v>145</v>
          </cell>
        </row>
        <row r="69">
          <cell r="A69" t="str">
            <v>BWR</v>
          </cell>
          <cell r="B69" t="str">
            <v>BWR.ASX</v>
          </cell>
          <cell r="C69" t="str">
            <v>BWR.ASX</v>
          </cell>
          <cell r="D69">
            <v>40</v>
          </cell>
          <cell r="E69">
            <v>230483.79</v>
          </cell>
          <cell r="F69">
            <v>145</v>
          </cell>
          <cell r="G69">
            <v>160875</v>
          </cell>
          <cell r="J69" t="str">
            <v>BWR.ASX</v>
          </cell>
          <cell r="K69" t="str">
            <v>BWR</v>
          </cell>
          <cell r="L69">
            <v>2</v>
          </cell>
          <cell r="M69">
            <v>99953067</v>
          </cell>
          <cell r="N69">
            <v>66635378</v>
          </cell>
          <cell r="O69">
            <v>40844</v>
          </cell>
          <cell r="P69" t="str">
            <v>Units</v>
          </cell>
          <cell r="Q69" t="str">
            <v>Ordinary Units Fully Paid</v>
          </cell>
          <cell r="R69" t="str">
            <v>Blackwall Property Trust</v>
          </cell>
          <cell r="S69">
            <v>141</v>
          </cell>
          <cell r="T69">
            <v>11.5</v>
          </cell>
          <cell r="U69">
            <v>155</v>
          </cell>
          <cell r="V69">
            <v>123</v>
          </cell>
          <cell r="X69" t="str">
            <v>BWR.ASX</v>
          </cell>
          <cell r="Y69">
            <v>140</v>
          </cell>
          <cell r="Z69" t="str">
            <v>BWR.ASX</v>
          </cell>
          <cell r="AA69">
            <v>130</v>
          </cell>
          <cell r="AB69" t="str">
            <v>BWR.ASX</v>
          </cell>
          <cell r="AC69">
            <v>122.88859672643935</v>
          </cell>
          <cell r="AD69" t="str">
            <v>BWR.ASX</v>
          </cell>
          <cell r="AE69">
            <v>85.168341822319107</v>
          </cell>
          <cell r="AF69" t="str">
            <v>BWR.ASX</v>
          </cell>
          <cell r="AG69">
            <v>145</v>
          </cell>
        </row>
        <row r="70">
          <cell r="A70" t="str">
            <v>CAM</v>
          </cell>
          <cell r="B70" t="str">
            <v>CAM.ASX</v>
          </cell>
          <cell r="C70" t="str">
            <v>CAM.ASX</v>
          </cell>
          <cell r="D70">
            <v>251</v>
          </cell>
          <cell r="E70">
            <v>1463956.1274999999</v>
          </cell>
          <cell r="F70">
            <v>86.5</v>
          </cell>
          <cell r="G70">
            <v>1708613</v>
          </cell>
          <cell r="J70" t="str">
            <v>CAM.ASX</v>
          </cell>
          <cell r="K70" t="str">
            <v>CAM</v>
          </cell>
          <cell r="L70">
            <v>2</v>
          </cell>
          <cell r="M70">
            <v>77667127.754999995</v>
          </cell>
          <cell r="N70">
            <v>89788587</v>
          </cell>
          <cell r="O70">
            <v>38020</v>
          </cell>
          <cell r="P70" t="str">
            <v>Fpo</v>
          </cell>
          <cell r="Q70" t="str">
            <v>Ordinary Fully Paid</v>
          </cell>
          <cell r="R70" t="str">
            <v>Clime Capital Limited</v>
          </cell>
          <cell r="S70">
            <v>91</v>
          </cell>
          <cell r="T70">
            <v>5</v>
          </cell>
          <cell r="U70">
            <v>91</v>
          </cell>
          <cell r="V70">
            <v>84</v>
          </cell>
          <cell r="X70" t="str">
            <v>CAM.ASX</v>
          </cell>
          <cell r="Y70">
            <v>84.5</v>
          </cell>
          <cell r="Z70" t="str">
            <v>CAM.ASX</v>
          </cell>
          <cell r="AA70">
            <v>87</v>
          </cell>
          <cell r="AB70" t="str">
            <v>CAM.ASX</v>
          </cell>
          <cell r="AC70">
            <v>90.5</v>
          </cell>
          <cell r="AD70" t="str">
            <v>CAM.ASX</v>
          </cell>
          <cell r="AE70">
            <v>99.995998859405518</v>
          </cell>
          <cell r="AF70" t="str">
            <v>CAM.ASX</v>
          </cell>
          <cell r="AG70">
            <v>86.5</v>
          </cell>
        </row>
        <row r="71">
          <cell r="A71" t="str">
            <v>CBC</v>
          </cell>
          <cell r="B71" t="str">
            <v>CBC.ASX</v>
          </cell>
          <cell r="C71" t="str">
            <v>CBC.ASX</v>
          </cell>
          <cell r="D71">
            <v>222</v>
          </cell>
          <cell r="E71">
            <v>245968.41999999998</v>
          </cell>
          <cell r="F71">
            <v>92.5</v>
          </cell>
          <cell r="G71">
            <v>270071</v>
          </cell>
          <cell r="J71" t="str">
            <v>CBC.ASX</v>
          </cell>
          <cell r="K71" t="str">
            <v>CBC</v>
          </cell>
          <cell r="L71">
            <v>2</v>
          </cell>
          <cell r="M71">
            <v>22869045.289999999</v>
          </cell>
          <cell r="N71">
            <v>25130819</v>
          </cell>
          <cell r="O71">
            <v>41992</v>
          </cell>
          <cell r="P71" t="str">
            <v>Fpo</v>
          </cell>
          <cell r="Q71" t="str">
            <v>Ordinary Fully Paid</v>
          </cell>
          <cell r="R71" t="str">
            <v>CBG Capital Limited</v>
          </cell>
          <cell r="S71">
            <v>101</v>
          </cell>
          <cell r="T71">
            <v>3.05</v>
          </cell>
          <cell r="U71">
            <v>93.5</v>
          </cell>
          <cell r="V71">
            <v>85</v>
          </cell>
          <cell r="X71" t="str">
            <v>CBC.ASX</v>
          </cell>
          <cell r="Y71">
            <v>91.5</v>
          </cell>
          <cell r="Z71" t="str">
            <v>CBC.ASX</v>
          </cell>
          <cell r="AA71">
            <v>90</v>
          </cell>
          <cell r="AB71" t="str">
            <v>CBC.ASX</v>
          </cell>
          <cell r="AC71">
            <v>95</v>
          </cell>
          <cell r="AD71" t="str">
            <v>CBC.ASX</v>
          </cell>
          <cell r="AF71" t="str">
            <v>CBC.ASX</v>
          </cell>
          <cell r="AG71">
            <v>92.5</v>
          </cell>
        </row>
        <row r="72">
          <cell r="A72" t="str">
            <v>CDM</v>
          </cell>
          <cell r="B72" t="str">
            <v>CDM.ASX</v>
          </cell>
          <cell r="C72" t="str">
            <v>CDM.ASX</v>
          </cell>
          <cell r="D72">
            <v>1302</v>
          </cell>
          <cell r="E72">
            <v>7886958.6050000004</v>
          </cell>
          <cell r="F72">
            <v>125</v>
          </cell>
          <cell r="G72">
            <v>6286921</v>
          </cell>
          <cell r="J72" t="str">
            <v>CDM.ASX</v>
          </cell>
          <cell r="K72" t="str">
            <v>CDM</v>
          </cell>
          <cell r="L72">
            <v>2</v>
          </cell>
          <cell r="M72">
            <v>397447055</v>
          </cell>
          <cell r="N72">
            <v>317957644</v>
          </cell>
          <cell r="O72">
            <v>39056</v>
          </cell>
          <cell r="P72" t="str">
            <v>Fpo</v>
          </cell>
          <cell r="Q72" t="str">
            <v>Ordinary Fully Paid</v>
          </cell>
          <cell r="R72" t="str">
            <v>Cadence Capital Limited</v>
          </cell>
          <cell r="S72">
            <v>129</v>
          </cell>
          <cell r="T72">
            <v>8</v>
          </cell>
          <cell r="U72">
            <v>137.5</v>
          </cell>
          <cell r="V72">
            <v>123</v>
          </cell>
          <cell r="X72" t="str">
            <v>CDM.ASX</v>
          </cell>
          <cell r="Y72">
            <v>127.49999999999999</v>
          </cell>
          <cell r="Z72" t="str">
            <v>CDM.ASX</v>
          </cell>
          <cell r="AA72">
            <v>123.50000000000001</v>
          </cell>
          <cell r="AB72" t="str">
            <v>CDM.ASX</v>
          </cell>
          <cell r="AC72">
            <v>138</v>
          </cell>
          <cell r="AD72" t="str">
            <v>CDM.ASX</v>
          </cell>
          <cell r="AE72">
            <v>126.34699821472168</v>
          </cell>
          <cell r="AF72" t="str">
            <v>CDM.ASX</v>
          </cell>
          <cell r="AG72">
            <v>125</v>
          </cell>
        </row>
        <row r="73">
          <cell r="A73" t="str">
            <v>CDP</v>
          </cell>
          <cell r="B73" t="str">
            <v>CDP.ASX</v>
          </cell>
          <cell r="C73" t="str">
            <v>CDP.ASX</v>
          </cell>
          <cell r="D73">
            <v>700</v>
          </cell>
          <cell r="E73">
            <v>5580358.5800000019</v>
          </cell>
          <cell r="F73">
            <v>815</v>
          </cell>
          <cell r="G73">
            <v>707785</v>
          </cell>
          <cell r="J73" t="str">
            <v>CDP.ASX</v>
          </cell>
          <cell r="K73" t="str">
            <v>CDP</v>
          </cell>
          <cell r="L73">
            <v>2</v>
          </cell>
          <cell r="M73">
            <v>574700000</v>
          </cell>
          <cell r="N73">
            <v>70000000</v>
          </cell>
          <cell r="O73">
            <v>36328</v>
          </cell>
          <cell r="P73" t="str">
            <v>Unit</v>
          </cell>
          <cell r="Q73" t="str">
            <v>Units Fully Paid</v>
          </cell>
          <cell r="R73" t="str">
            <v>Carindale Property Trust</v>
          </cell>
          <cell r="S73">
            <v>817</v>
          </cell>
          <cell r="T73">
            <v>40.200000000000003</v>
          </cell>
          <cell r="U73">
            <v>839</v>
          </cell>
          <cell r="V73">
            <v>720</v>
          </cell>
          <cell r="X73" t="str">
            <v>CDP.ASX</v>
          </cell>
          <cell r="Y73">
            <v>756</v>
          </cell>
          <cell r="Z73" t="str">
            <v>CDP.ASX</v>
          </cell>
          <cell r="AA73">
            <v>770</v>
          </cell>
          <cell r="AB73" t="str">
            <v>CDP.ASX</v>
          </cell>
          <cell r="AC73">
            <v>650</v>
          </cell>
          <cell r="AD73" t="str">
            <v>CDP.ASX</v>
          </cell>
          <cell r="AE73">
            <v>548</v>
          </cell>
          <cell r="AF73" t="str">
            <v>CDP.ASX</v>
          </cell>
          <cell r="AG73">
            <v>815</v>
          </cell>
        </row>
        <row r="74">
          <cell r="A74" t="str">
            <v>CETF</v>
          </cell>
          <cell r="B74" t="str">
            <v>CETF.AXW</v>
          </cell>
          <cell r="C74" t="str">
            <v>CETF.AXW</v>
          </cell>
          <cell r="D74">
            <v>165</v>
          </cell>
          <cell r="E74">
            <v>1843880.2200000002</v>
          </cell>
          <cell r="F74">
            <v>5575</v>
          </cell>
          <cell r="G74">
            <v>32149</v>
          </cell>
          <cell r="J74" t="str">
            <v>CETF.AXW</v>
          </cell>
          <cell r="K74" t="str">
            <v>CETF</v>
          </cell>
          <cell r="L74">
            <v>2</v>
          </cell>
          <cell r="M74">
            <v>8908345.2799999993</v>
          </cell>
          <cell r="N74">
            <v>181948</v>
          </cell>
          <cell r="O74">
            <v>42181</v>
          </cell>
          <cell r="P74" t="str">
            <v>Cdi 1:1</v>
          </cell>
          <cell r="Q74" t="str">
            <v>Exchange Traded Fund Cdis 1:1</v>
          </cell>
          <cell r="R74" t="str">
            <v>Vaneck Vectors Chinaamc CSI 300 ETF (Synthetic)</v>
          </cell>
          <cell r="S74">
            <v>0</v>
          </cell>
          <cell r="T74">
            <v>56.6738</v>
          </cell>
          <cell r="U74">
            <v>6723</v>
          </cell>
          <cell r="V74">
            <v>5297</v>
          </cell>
          <cell r="X74" t="str">
            <v>CETF.AXW</v>
          </cell>
          <cell r="Y74">
            <v>6076</v>
          </cell>
          <cell r="Z74" t="str">
            <v>CETF.AXW</v>
          </cell>
          <cell r="AA74">
            <v>5547</v>
          </cell>
          <cell r="AB74" t="str">
            <v>CETF.AXW</v>
          </cell>
          <cell r="AC74">
            <v>7414</v>
          </cell>
          <cell r="AD74" t="str">
            <v>CETF.AXW</v>
          </cell>
          <cell r="AE74">
            <v>568</v>
          </cell>
          <cell r="AF74" t="str">
            <v>CETF.AXW</v>
          </cell>
          <cell r="AG74">
            <v>5575</v>
          </cell>
        </row>
        <row r="75">
          <cell r="A75" t="str">
            <v>CHC</v>
          </cell>
          <cell r="B75" t="str">
            <v>CHC.ASX</v>
          </cell>
          <cell r="C75" t="str">
            <v>CHC.ASX</v>
          </cell>
          <cell r="D75">
            <v>78920</v>
          </cell>
          <cell r="E75">
            <v>238900793.01740003</v>
          </cell>
          <cell r="F75">
            <v>652</v>
          </cell>
          <cell r="G75">
            <v>36950959</v>
          </cell>
          <cell r="J75" t="str">
            <v>CHC.ASX</v>
          </cell>
          <cell r="K75" t="str">
            <v>CHC</v>
          </cell>
          <cell r="L75">
            <v>2</v>
          </cell>
          <cell r="M75">
            <v>3050511000</v>
          </cell>
          <cell r="N75">
            <v>465777131</v>
          </cell>
          <cell r="O75">
            <v>38883</v>
          </cell>
          <cell r="P75" t="str">
            <v>Forus</v>
          </cell>
          <cell r="Q75" t="str">
            <v>Stapled Securities Us Prohibited</v>
          </cell>
          <cell r="R75" t="str">
            <v>Charter Hall Group</v>
          </cell>
          <cell r="S75">
            <v>369</v>
          </cell>
          <cell r="T75">
            <v>31.799999999999997</v>
          </cell>
          <cell r="U75">
            <v>665</v>
          </cell>
          <cell r="V75">
            <v>516</v>
          </cell>
          <cell r="X75" t="str">
            <v>CHC.ASX</v>
          </cell>
          <cell r="Y75">
            <v>636</v>
          </cell>
          <cell r="Z75" t="str">
            <v>CHC.ASX</v>
          </cell>
          <cell r="AA75">
            <v>550</v>
          </cell>
          <cell r="AB75" t="str">
            <v>CHC.ASX</v>
          </cell>
          <cell r="AC75">
            <v>451.99999999999994</v>
          </cell>
          <cell r="AD75" t="str">
            <v>CHC.ASX</v>
          </cell>
          <cell r="AE75">
            <v>387</v>
          </cell>
          <cell r="AF75" t="str">
            <v>CHC.ASX</v>
          </cell>
          <cell r="AG75">
            <v>652</v>
          </cell>
        </row>
        <row r="76">
          <cell r="A76" t="str">
            <v>CIE</v>
          </cell>
          <cell r="B76" t="str">
            <v>CIE.ASX</v>
          </cell>
          <cell r="C76" t="str">
            <v>CIE.ASX</v>
          </cell>
          <cell r="D76">
            <v>254</v>
          </cell>
          <cell r="E76">
            <v>1872377.6150000002</v>
          </cell>
          <cell r="F76">
            <v>94</v>
          </cell>
          <cell r="G76">
            <v>1988352</v>
          </cell>
          <cell r="J76" t="str">
            <v>CIE.ASX</v>
          </cell>
          <cell r="K76" t="str">
            <v>CIE</v>
          </cell>
          <cell r="L76">
            <v>2</v>
          </cell>
          <cell r="M76">
            <v>96544176.989999995</v>
          </cell>
          <cell r="N76">
            <v>103810943</v>
          </cell>
          <cell r="O76">
            <v>42230</v>
          </cell>
          <cell r="P76" t="str">
            <v>Fpo</v>
          </cell>
          <cell r="Q76" t="str">
            <v>Ordinary Fully Paid</v>
          </cell>
          <cell r="R76" t="str">
            <v>Contango Income Generator  Limited</v>
          </cell>
          <cell r="S76">
            <v>97</v>
          </cell>
          <cell r="T76">
            <v>8.2999999999999989</v>
          </cell>
          <cell r="U76">
            <v>101</v>
          </cell>
          <cell r="V76">
            <v>92</v>
          </cell>
          <cell r="X76" t="str">
            <v>CIE.ASX</v>
          </cell>
          <cell r="Y76">
            <v>95</v>
          </cell>
          <cell r="Z76" t="str">
            <v>CIE.ASX</v>
          </cell>
          <cell r="AA76">
            <v>96.5</v>
          </cell>
          <cell r="AB76" t="str">
            <v>CIE.ASX</v>
          </cell>
          <cell r="AC76">
            <v>451.99999999999994</v>
          </cell>
          <cell r="AD76" t="str">
            <v>CIE.ASX</v>
          </cell>
          <cell r="AE76">
            <v>327</v>
          </cell>
          <cell r="AF76" t="str">
            <v>CIE.ASX</v>
          </cell>
          <cell r="AG76">
            <v>94</v>
          </cell>
        </row>
        <row r="77">
          <cell r="A77" t="str">
            <v>CIN</v>
          </cell>
          <cell r="B77" t="str">
            <v>CIN.ASX</v>
          </cell>
          <cell r="C77" t="str">
            <v>CIN.ASX</v>
          </cell>
          <cell r="D77">
            <v>136</v>
          </cell>
          <cell r="E77">
            <v>1411078.6</v>
          </cell>
          <cell r="F77">
            <v>3308</v>
          </cell>
          <cell r="G77">
            <v>43002</v>
          </cell>
          <cell r="J77" t="str">
            <v>CIN.ASX</v>
          </cell>
          <cell r="K77" t="str">
            <v>CIN</v>
          </cell>
          <cell r="L77">
            <v>2</v>
          </cell>
          <cell r="M77">
            <v>865721872.5</v>
          </cell>
          <cell r="N77">
            <v>26474675</v>
          </cell>
          <cell r="O77">
            <v>25749</v>
          </cell>
          <cell r="P77" t="str">
            <v>Fpo</v>
          </cell>
          <cell r="Q77" t="str">
            <v>Ordinary Fully Paid</v>
          </cell>
          <cell r="R77" t="str">
            <v>Carlton Investments Limited</v>
          </cell>
          <cell r="S77">
            <v>3744</v>
          </cell>
          <cell r="T77">
            <v>119</v>
          </cell>
          <cell r="U77">
            <v>3494</v>
          </cell>
          <cell r="V77">
            <v>3051</v>
          </cell>
          <cell r="X77" t="str">
            <v>CIN.ASX</v>
          </cell>
          <cell r="Y77">
            <v>3240</v>
          </cell>
          <cell r="Z77" t="str">
            <v>CIN.ASX</v>
          </cell>
          <cell r="AA77">
            <v>3150</v>
          </cell>
          <cell r="AB77" t="str">
            <v>CIN.ASX</v>
          </cell>
          <cell r="AC77">
            <v>3169</v>
          </cell>
          <cell r="AD77" t="str">
            <v>CIN.ASX</v>
          </cell>
          <cell r="AE77">
            <v>2110</v>
          </cell>
          <cell r="AF77" t="str">
            <v>CIN.ASX</v>
          </cell>
          <cell r="AG77">
            <v>3308</v>
          </cell>
        </row>
        <row r="78">
          <cell r="A78" t="str">
            <v>CIW</v>
          </cell>
          <cell r="B78" t="str">
            <v>CIW.ASX</v>
          </cell>
          <cell r="C78" t="str">
            <v>CIW.ASX</v>
          </cell>
          <cell r="D78">
            <v>35</v>
          </cell>
          <cell r="E78">
            <v>198492.4</v>
          </cell>
          <cell r="F78">
            <v>48</v>
          </cell>
          <cell r="G78">
            <v>410261</v>
          </cell>
          <cell r="J78" t="str">
            <v>CIW.ASX</v>
          </cell>
          <cell r="K78" t="str">
            <v>CIW</v>
          </cell>
          <cell r="L78">
            <v>2</v>
          </cell>
          <cell r="M78">
            <v>28263216</v>
          </cell>
          <cell r="N78">
            <v>56526432</v>
          </cell>
          <cell r="O78">
            <v>36875</v>
          </cell>
          <cell r="P78" t="str">
            <v>Fpo</v>
          </cell>
          <cell r="Q78" t="str">
            <v>Ordinary Fully Paid</v>
          </cell>
          <cell r="R78" t="str">
            <v>Clime Investment Management Ltd</v>
          </cell>
          <cell r="S78">
            <v>17</v>
          </cell>
          <cell r="T78">
            <v>3</v>
          </cell>
          <cell r="U78">
            <v>59</v>
          </cell>
          <cell r="V78">
            <v>46</v>
          </cell>
          <cell r="X78" t="str">
            <v>CIW.ASX</v>
          </cell>
          <cell r="Y78">
            <v>47.5</v>
          </cell>
          <cell r="Z78" t="str">
            <v>CIW.ASX</v>
          </cell>
          <cell r="AA78">
            <v>50.5</v>
          </cell>
          <cell r="AB78" t="str">
            <v>CIW.ASX</v>
          </cell>
          <cell r="AC78">
            <v>65.062500536441803</v>
          </cell>
          <cell r="AD78" t="str">
            <v>CIW.ASX</v>
          </cell>
          <cell r="AE78">
            <v>54.798241471061715</v>
          </cell>
          <cell r="AF78" t="str">
            <v>CIW.ASX</v>
          </cell>
          <cell r="AG78">
            <v>48</v>
          </cell>
        </row>
        <row r="79">
          <cell r="A79" t="str">
            <v>CLW</v>
          </cell>
          <cell r="B79" t="str">
            <v>CLW.ASX</v>
          </cell>
          <cell r="C79" t="str">
            <v>CLW.ASX</v>
          </cell>
          <cell r="D79">
            <v>29543</v>
          </cell>
          <cell r="E79">
            <v>67735661.582999974</v>
          </cell>
          <cell r="F79">
            <v>440.00000000000006</v>
          </cell>
          <cell r="G79">
            <v>15581117</v>
          </cell>
          <cell r="J79" t="str">
            <v>CLW.ASX</v>
          </cell>
          <cell r="K79" t="str">
            <v>CLW</v>
          </cell>
          <cell r="L79">
            <v>2</v>
          </cell>
          <cell r="M79">
            <v>759270310.39999998</v>
          </cell>
          <cell r="N79">
            <v>232300142</v>
          </cell>
          <cell r="O79">
            <v>42682</v>
          </cell>
          <cell r="P79" t="str">
            <v>Stapled</v>
          </cell>
          <cell r="Q79" t="str">
            <v>Stapled Securities</v>
          </cell>
          <cell r="R79" t="str">
            <v>Charter Hall Long Wale REIT</v>
          </cell>
          <cell r="S79">
            <v>4</v>
          </cell>
          <cell r="T79">
            <v>26.377899819612505</v>
          </cell>
          <cell r="U79">
            <v>452</v>
          </cell>
          <cell r="V79">
            <v>370</v>
          </cell>
          <cell r="X79" t="str">
            <v>CLW.ASX</v>
          </cell>
          <cell r="Y79">
            <v>419.00000000000006</v>
          </cell>
          <cell r="Z79" t="str">
            <v>CLW.ASX</v>
          </cell>
          <cell r="AA79">
            <v>411.59578853845596</v>
          </cell>
          <cell r="AB79" t="str">
            <v>CLW.ASX</v>
          </cell>
          <cell r="AC79">
            <v>250</v>
          </cell>
          <cell r="AD79" t="str">
            <v>CLW.ASX</v>
          </cell>
          <cell r="AE79">
            <v>157.0079486797903</v>
          </cell>
          <cell r="AF79" t="str">
            <v>CLW.ASX</v>
          </cell>
          <cell r="AG79">
            <v>440.00000000000006</v>
          </cell>
        </row>
        <row r="80">
          <cell r="A80" t="str">
            <v>CMA</v>
          </cell>
          <cell r="B80" t="str">
            <v>CMA.ASX</v>
          </cell>
          <cell r="C80" t="str">
            <v>CMA.ASX</v>
          </cell>
          <cell r="D80">
            <v>5236</v>
          </cell>
          <cell r="E80">
            <v>6589821.0766999992</v>
          </cell>
          <cell r="F80">
            <v>248</v>
          </cell>
          <cell r="G80">
            <v>2733722</v>
          </cell>
          <cell r="J80" t="str">
            <v>CMA.ASX</v>
          </cell>
          <cell r="K80" t="str">
            <v>CMA</v>
          </cell>
          <cell r="L80">
            <v>2</v>
          </cell>
          <cell r="M80">
            <v>446382037.5</v>
          </cell>
          <cell r="N80">
            <v>242792166</v>
          </cell>
          <cell r="O80">
            <v>41983</v>
          </cell>
          <cell r="P80" t="str">
            <v>Ord Unit</v>
          </cell>
          <cell r="Q80" t="str">
            <v>Ordinary Units Fully Paid</v>
          </cell>
          <cell r="R80" t="str">
            <v>Centuria Metropolitan REIT</v>
          </cell>
          <cell r="S80">
            <v>239</v>
          </cell>
          <cell r="T80">
            <v>18.088687510788443</v>
          </cell>
          <cell r="U80">
            <v>249.37500059604645</v>
          </cell>
          <cell r="V80">
            <v>222</v>
          </cell>
          <cell r="X80" t="str">
            <v>CMA.ASX</v>
          </cell>
          <cell r="Y80">
            <v>238</v>
          </cell>
          <cell r="Z80" t="str">
            <v>CMA.ASX</v>
          </cell>
          <cell r="AA80">
            <v>249.52122714807768</v>
          </cell>
          <cell r="AB80" t="str">
            <v>CMA.ASX</v>
          </cell>
          <cell r="AC80">
            <v>204.78634578686857</v>
          </cell>
          <cell r="AD80" t="str">
            <v>CMA.ASX</v>
          </cell>
          <cell r="AE80">
            <v>46.187089239894874</v>
          </cell>
          <cell r="AF80" t="str">
            <v>CMA.ASX</v>
          </cell>
          <cell r="AG80">
            <v>248</v>
          </cell>
        </row>
        <row r="81">
          <cell r="A81" t="str">
            <v>CMW</v>
          </cell>
          <cell r="B81" t="str">
            <v>CMW.ASX</v>
          </cell>
          <cell r="C81" t="str">
            <v>CMW.ASX</v>
          </cell>
          <cell r="D81">
            <v>33723</v>
          </cell>
          <cell r="E81">
            <v>117665557.70779999</v>
          </cell>
          <cell r="F81">
            <v>112.00000000000001</v>
          </cell>
          <cell r="G81">
            <v>106073212</v>
          </cell>
          <cell r="J81" t="str">
            <v>CMW.ASX</v>
          </cell>
          <cell r="K81" t="str">
            <v>CMW</v>
          </cell>
          <cell r="L81">
            <v>2</v>
          </cell>
          <cell r="M81">
            <v>1791400752</v>
          </cell>
          <cell r="N81">
            <v>1985324674</v>
          </cell>
          <cell r="O81">
            <v>26717</v>
          </cell>
          <cell r="P81" t="str">
            <v>Stapled</v>
          </cell>
          <cell r="Q81" t="str">
            <v>Ordinary/Units Fully Paid Stapled Securities</v>
          </cell>
          <cell r="R81" t="str">
            <v>Cromwell Property Group</v>
          </cell>
          <cell r="S81">
            <v>93</v>
          </cell>
          <cell r="T81">
            <v>8.34</v>
          </cell>
          <cell r="U81">
            <v>113.75</v>
          </cell>
          <cell r="V81">
            <v>91.5</v>
          </cell>
          <cell r="X81" t="str">
            <v>CMW.ASX</v>
          </cell>
          <cell r="Y81">
            <v>109.5</v>
          </cell>
          <cell r="Z81" t="str">
            <v>CMW.ASX</v>
          </cell>
          <cell r="AA81">
            <v>95</v>
          </cell>
          <cell r="AB81" t="str">
            <v>CMW.ASX</v>
          </cell>
          <cell r="AC81">
            <v>102.49999999999999</v>
          </cell>
          <cell r="AD81" t="str">
            <v>CMW.ASX</v>
          </cell>
          <cell r="AE81">
            <v>97.5</v>
          </cell>
          <cell r="AF81" t="str">
            <v>CMW.ASX</v>
          </cell>
          <cell r="AG81">
            <v>112.00000000000001</v>
          </cell>
        </row>
        <row r="82">
          <cell r="A82" t="str">
            <v>CORE</v>
          </cell>
          <cell r="B82" t="str">
            <v>CORE.AXW</v>
          </cell>
          <cell r="C82" t="str">
            <v>CORE.AXW</v>
          </cell>
          <cell r="D82">
            <v>9</v>
          </cell>
          <cell r="E82">
            <v>58944.130000000005</v>
          </cell>
          <cell r="F82">
            <v>5373</v>
          </cell>
          <cell r="G82">
            <v>1134</v>
          </cell>
          <cell r="J82" t="str">
            <v>CORE.AXW</v>
          </cell>
          <cell r="K82" t="str">
            <v>CORE</v>
          </cell>
          <cell r="L82">
            <v>2</v>
          </cell>
          <cell r="M82">
            <v>3169305.64</v>
          </cell>
          <cell r="N82">
            <v>60002</v>
          </cell>
          <cell r="O82">
            <v>42998</v>
          </cell>
          <cell r="P82" t="str">
            <v>ETF Units</v>
          </cell>
          <cell r="Q82" t="str">
            <v>Exchange Traded Fund Units Fully Paid</v>
          </cell>
          <cell r="R82" t="str">
            <v>ETFS Global Core Infrastructure ETF</v>
          </cell>
          <cell r="S82">
            <v>0</v>
          </cell>
          <cell r="T82">
            <v>96.739000000000004</v>
          </cell>
          <cell r="U82">
            <v>5529</v>
          </cell>
          <cell r="V82">
            <v>4825</v>
          </cell>
          <cell r="X82" t="str">
            <v>CORE.AXW</v>
          </cell>
          <cell r="Y82">
            <v>5263</v>
          </cell>
          <cell r="Z82" t="str">
            <v>CORE.AXW</v>
          </cell>
          <cell r="AA82">
            <v>212.73921358441686</v>
          </cell>
          <cell r="AB82" t="str">
            <v>CORE.AXW</v>
          </cell>
          <cell r="AC82">
            <v>206.06974090279309</v>
          </cell>
          <cell r="AD82" t="str">
            <v>CORE.AXW</v>
          </cell>
          <cell r="AF82" t="str">
            <v>CORE.AXW</v>
          </cell>
          <cell r="AG82">
            <v>5373</v>
          </cell>
        </row>
        <row r="83">
          <cell r="A83" t="str">
            <v>CQR</v>
          </cell>
          <cell r="B83" t="str">
            <v>CQR.ASX</v>
          </cell>
          <cell r="C83" t="str">
            <v>CQR.ASX</v>
          </cell>
          <cell r="D83">
            <v>45032</v>
          </cell>
          <cell r="E83">
            <v>125040752.68969996</v>
          </cell>
          <cell r="F83">
            <v>419.00000000000006</v>
          </cell>
          <cell r="G83">
            <v>29319448</v>
          </cell>
          <cell r="J83" t="str">
            <v>CQR.ASX</v>
          </cell>
          <cell r="K83" t="str">
            <v>CQR</v>
          </cell>
          <cell r="L83">
            <v>2</v>
          </cell>
          <cell r="M83">
            <v>1394099761.0680001</v>
          </cell>
          <cell r="N83">
            <v>402733504</v>
          </cell>
          <cell r="O83">
            <v>35384</v>
          </cell>
          <cell r="P83" t="str">
            <v>Unit</v>
          </cell>
          <cell r="Q83" t="str">
            <v>Units Fully Paid</v>
          </cell>
          <cell r="R83" t="str">
            <v>Charter Hall Retail REIT</v>
          </cell>
          <cell r="S83">
            <v>419</v>
          </cell>
          <cell r="T83">
            <v>28.2</v>
          </cell>
          <cell r="U83">
            <v>441</v>
          </cell>
          <cell r="V83">
            <v>361</v>
          </cell>
          <cell r="X83" t="str">
            <v>CQR.ASX</v>
          </cell>
          <cell r="Y83">
            <v>425</v>
          </cell>
          <cell r="Z83" t="str">
            <v>CQR.ASX</v>
          </cell>
          <cell r="AA83">
            <v>407</v>
          </cell>
          <cell r="AB83" t="str">
            <v>CQR.ASX</v>
          </cell>
          <cell r="AC83">
            <v>424</v>
          </cell>
          <cell r="AD83" t="str">
            <v>CQR.ASX</v>
          </cell>
          <cell r="AE83">
            <v>381</v>
          </cell>
          <cell r="AF83" t="str">
            <v>CQR.ASX</v>
          </cell>
          <cell r="AG83">
            <v>419.00000000000006</v>
          </cell>
        </row>
        <row r="84">
          <cell r="A84" t="str">
            <v>WQG</v>
          </cell>
          <cell r="B84" t="str">
            <v>WQG.asx</v>
          </cell>
          <cell r="C84" t="str">
            <v>WQG.ASX</v>
          </cell>
          <cell r="D84">
            <v>262</v>
          </cell>
          <cell r="E84">
            <v>3020663.3399999994</v>
          </cell>
          <cell r="F84">
            <v>107.5</v>
          </cell>
          <cell r="G84">
            <v>2893855</v>
          </cell>
          <cell r="J84" t="str">
            <v>WQG.asx</v>
          </cell>
          <cell r="K84" t="str">
            <v>WQG</v>
          </cell>
          <cell r="L84">
            <v>2</v>
          </cell>
          <cell r="M84">
            <v>97353819.459999993</v>
          </cell>
          <cell r="N84">
            <v>90984878</v>
          </cell>
          <cell r="O84">
            <v>42909</v>
          </cell>
          <cell r="P84" t="str">
            <v>Fpo</v>
          </cell>
          <cell r="Q84" t="str">
            <v>Ordinary Fully Paid</v>
          </cell>
          <cell r="R84" t="str">
            <v>Wcm Global Growth Limited</v>
          </cell>
          <cell r="S84">
            <v>114</v>
          </cell>
          <cell r="U84">
            <v>119</v>
          </cell>
          <cell r="V84">
            <v>95.5</v>
          </cell>
          <cell r="X84" t="str">
            <v>WQG.ASX</v>
          </cell>
          <cell r="Y84">
            <v>101.49999999999999</v>
          </cell>
          <cell r="Z84" t="str">
            <v>WQG.ASX</v>
          </cell>
          <cell r="AA84">
            <v>110.00000000000001</v>
          </cell>
          <cell r="AB84" t="str">
            <v>WQG.ASX</v>
          </cell>
          <cell r="AC84">
            <v>103</v>
          </cell>
          <cell r="AD84" t="str">
            <v>WQG.ASX</v>
          </cell>
          <cell r="AE84">
            <v>83.798401594161987</v>
          </cell>
          <cell r="AF84" t="str">
            <v>WQG.ASX</v>
          </cell>
          <cell r="AG84">
            <v>107.5</v>
          </cell>
        </row>
        <row r="85">
          <cell r="A85" t="str">
            <v>CRR</v>
          </cell>
          <cell r="B85" t="str">
            <v>CRR.ASX</v>
          </cell>
          <cell r="C85" t="str">
            <v>CRR.ASX</v>
          </cell>
          <cell r="D85">
            <v>1002</v>
          </cell>
          <cell r="E85">
            <v>6129832.5999999987</v>
          </cell>
          <cell r="F85">
            <v>271</v>
          </cell>
          <cell r="G85">
            <v>2241593</v>
          </cell>
          <cell r="J85" t="str">
            <v>CRR.ASX</v>
          </cell>
          <cell r="K85" t="str">
            <v>CRR</v>
          </cell>
          <cell r="L85">
            <v>2</v>
          </cell>
          <cell r="M85">
            <v>213084137.69999999</v>
          </cell>
          <cell r="N85">
            <v>78920051</v>
          </cell>
          <cell r="O85">
            <v>42943</v>
          </cell>
          <cell r="P85" t="str">
            <v>Stapled</v>
          </cell>
          <cell r="Q85" t="str">
            <v>Stapled Securities</v>
          </cell>
          <cell r="R85" t="str">
            <v>Convenience Retail REIT</v>
          </cell>
          <cell r="S85">
            <v>281</v>
          </cell>
          <cell r="T85">
            <v>18.13</v>
          </cell>
          <cell r="U85">
            <v>302</v>
          </cell>
          <cell r="V85">
            <v>259</v>
          </cell>
          <cell r="X85" t="str">
            <v>CRR.ASX</v>
          </cell>
          <cell r="Y85">
            <v>268</v>
          </cell>
          <cell r="Z85" t="str">
            <v>CRR.ASX</v>
          </cell>
          <cell r="AB85" t="str">
            <v>CRR.ASX</v>
          </cell>
          <cell r="AD85" t="str">
            <v>CRR.ASX</v>
          </cell>
          <cell r="AF85" t="str">
            <v>CRR.ASX</v>
          </cell>
          <cell r="AG85">
            <v>271</v>
          </cell>
        </row>
        <row r="86">
          <cell r="A86" t="str">
            <v>NSC</v>
          </cell>
          <cell r="B86" t="str">
            <v>NSC.ASX</v>
          </cell>
          <cell r="C86" t="str">
            <v>NSC.ASX</v>
          </cell>
          <cell r="D86">
            <v>614</v>
          </cell>
          <cell r="E86">
            <v>3746491.855</v>
          </cell>
          <cell r="F86">
            <v>76.5</v>
          </cell>
          <cell r="G86">
            <v>4833342</v>
          </cell>
          <cell r="J86" t="str">
            <v>NSC.ASX</v>
          </cell>
          <cell r="K86" t="str">
            <v>NSC</v>
          </cell>
          <cell r="L86">
            <v>2</v>
          </cell>
          <cell r="M86">
            <v>130971749.65000001</v>
          </cell>
          <cell r="N86">
            <v>168995806</v>
          </cell>
          <cell r="O86">
            <v>38071</v>
          </cell>
          <cell r="P86" t="str">
            <v>Fpo</v>
          </cell>
          <cell r="Q86" t="str">
            <v>Ordinary Fully Paid</v>
          </cell>
          <cell r="R86" t="str">
            <v>Naos Small Cap Opportunities Company Limited</v>
          </cell>
          <cell r="S86">
            <v>91</v>
          </cell>
          <cell r="T86">
            <v>6.4</v>
          </cell>
          <cell r="U86">
            <v>97.5</v>
          </cell>
          <cell r="V86">
            <v>75.5</v>
          </cell>
          <cell r="X86" t="str">
            <v>NSC.ASX</v>
          </cell>
          <cell r="Y86">
            <v>79</v>
          </cell>
          <cell r="Z86" t="str">
            <v>NSC.ASX</v>
          </cell>
          <cell r="AA86">
            <v>90</v>
          </cell>
          <cell r="AB86" t="str">
            <v>NSC.ASX</v>
          </cell>
          <cell r="AC86">
            <v>107.5</v>
          </cell>
          <cell r="AD86" t="str">
            <v>NSC.ASX</v>
          </cell>
          <cell r="AE86">
            <v>98</v>
          </cell>
          <cell r="AF86" t="str">
            <v>NSC.ASX</v>
          </cell>
          <cell r="AG86">
            <v>76.5</v>
          </cell>
        </row>
        <row r="87">
          <cell r="A87" t="str">
            <v>CYA</v>
          </cell>
          <cell r="B87" t="str">
            <v>CYA.ASX</v>
          </cell>
          <cell r="C87" t="str">
            <v>CYA.ASX</v>
          </cell>
          <cell r="D87">
            <v>191</v>
          </cell>
          <cell r="E87">
            <v>1532148.125</v>
          </cell>
          <cell r="F87">
            <v>96</v>
          </cell>
          <cell r="G87">
            <v>1634651</v>
          </cell>
          <cell r="J87" t="str">
            <v>CYA.ASX</v>
          </cell>
          <cell r="K87" t="str">
            <v>CYA</v>
          </cell>
          <cell r="L87">
            <v>2</v>
          </cell>
          <cell r="M87">
            <v>89084006.549999997</v>
          </cell>
          <cell r="N87">
            <v>94268790</v>
          </cell>
          <cell r="O87">
            <v>38085</v>
          </cell>
          <cell r="P87" t="str">
            <v>Fpo</v>
          </cell>
          <cell r="Q87" t="str">
            <v>Ordinary Fully Paid</v>
          </cell>
          <cell r="R87" t="str">
            <v>Century Australia Investments Limited</v>
          </cell>
          <cell r="S87">
            <v>105</v>
          </cell>
          <cell r="T87">
            <v>2.09</v>
          </cell>
          <cell r="U87">
            <v>99.5</v>
          </cell>
          <cell r="V87">
            <v>90</v>
          </cell>
          <cell r="X87" t="str">
            <v>CYA.ASX</v>
          </cell>
          <cell r="Y87">
            <v>93.5</v>
          </cell>
          <cell r="Z87" t="str">
            <v>CYA.ASX</v>
          </cell>
          <cell r="AA87">
            <v>93</v>
          </cell>
          <cell r="AB87" t="str">
            <v>CYA.ASX</v>
          </cell>
          <cell r="AC87">
            <v>86</v>
          </cell>
          <cell r="AD87" t="str">
            <v>CYA.ASX</v>
          </cell>
          <cell r="AE87">
            <v>74.122501909732819</v>
          </cell>
          <cell r="AF87" t="str">
            <v>CYA.ASX</v>
          </cell>
          <cell r="AG87">
            <v>96</v>
          </cell>
        </row>
        <row r="88">
          <cell r="A88" t="str">
            <v>D2O</v>
          </cell>
          <cell r="B88" t="str">
            <v>D2O.ASX</v>
          </cell>
          <cell r="C88" t="str">
            <v>D2O.ASX</v>
          </cell>
          <cell r="D88">
            <v>290</v>
          </cell>
          <cell r="E88">
            <v>1283300.4850000001</v>
          </cell>
          <cell r="F88">
            <v>119</v>
          </cell>
          <cell r="G88">
            <v>1104235</v>
          </cell>
          <cell r="J88" t="str">
            <v>D2O.ASX</v>
          </cell>
          <cell r="K88" t="str">
            <v>D2O</v>
          </cell>
          <cell r="L88">
            <v>2</v>
          </cell>
          <cell r="M88">
            <v>104749660.08</v>
          </cell>
          <cell r="N88">
            <v>89529624</v>
          </cell>
          <cell r="O88">
            <v>42629</v>
          </cell>
          <cell r="P88" t="str">
            <v>Fpo</v>
          </cell>
          <cell r="Q88" t="str">
            <v>Ordinary Fully Paid</v>
          </cell>
          <cell r="R88" t="str">
            <v>Duxton Water Limited</v>
          </cell>
          <cell r="S88">
            <v>123</v>
          </cell>
          <cell r="T88">
            <v>4.6999999999999993</v>
          </cell>
          <cell r="U88">
            <v>126</v>
          </cell>
          <cell r="V88">
            <v>98</v>
          </cell>
          <cell r="X88" t="str">
            <v>D2O.ASX</v>
          </cell>
          <cell r="Y88">
            <v>112.99999999999999</v>
          </cell>
          <cell r="Z88" t="str">
            <v>D2O.ASX</v>
          </cell>
          <cell r="AA88">
            <v>109.00000000000001</v>
          </cell>
          <cell r="AB88" t="str">
            <v>D2O.ASX</v>
          </cell>
          <cell r="AD88" t="str">
            <v>D2O.ASX</v>
          </cell>
          <cell r="AF88" t="str">
            <v>D2O.ASX</v>
          </cell>
          <cell r="AG88">
            <v>119</v>
          </cell>
        </row>
        <row r="89">
          <cell r="A89" t="str">
            <v>DIV</v>
          </cell>
          <cell r="B89" t="str">
            <v>DIV.AXW</v>
          </cell>
          <cell r="C89" t="str">
            <v>DIV.AXW</v>
          </cell>
          <cell r="D89">
            <v>25</v>
          </cell>
          <cell r="E89">
            <v>740850.62</v>
          </cell>
          <cell r="F89">
            <v>2032.9999999999998</v>
          </cell>
          <cell r="G89">
            <v>36406</v>
          </cell>
          <cell r="J89" t="str">
            <v>DIV.AXW</v>
          </cell>
          <cell r="K89" t="str">
            <v>DIV</v>
          </cell>
          <cell r="L89">
            <v>2</v>
          </cell>
          <cell r="M89">
            <v>12498591.24</v>
          </cell>
          <cell r="N89">
            <v>547447</v>
          </cell>
          <cell r="O89">
            <v>41655</v>
          </cell>
          <cell r="P89" t="str">
            <v>ETF Units</v>
          </cell>
          <cell r="Q89" t="str">
            <v>Exchange Traded Fund Units Fully Paid</v>
          </cell>
          <cell r="R89" t="str">
            <v>UBS Iq Morningstar Australia Dividend Yield ETF</v>
          </cell>
          <cell r="S89">
            <v>0</v>
          </cell>
          <cell r="T89">
            <v>111.1242</v>
          </cell>
          <cell r="U89">
            <v>2149</v>
          </cell>
          <cell r="V89">
            <v>1922</v>
          </cell>
          <cell r="X89" t="str">
            <v>DIV.AXW</v>
          </cell>
          <cell r="Y89">
            <v>2004</v>
          </cell>
          <cell r="Z89" t="str">
            <v>DIV.AXW</v>
          </cell>
          <cell r="AA89">
            <v>2039.9999999999998</v>
          </cell>
          <cell r="AB89" t="str">
            <v>DIV.AXW</v>
          </cell>
          <cell r="AC89">
            <v>1995</v>
          </cell>
          <cell r="AD89" t="str">
            <v>DIV.AXW</v>
          </cell>
          <cell r="AF89" t="str">
            <v>DIV.AXW</v>
          </cell>
          <cell r="AG89">
            <v>2032.9999999999998</v>
          </cell>
        </row>
        <row r="90">
          <cell r="A90" t="str">
            <v>DJRE</v>
          </cell>
          <cell r="B90" t="str">
            <v>DJRE.AXW</v>
          </cell>
          <cell r="C90" t="str">
            <v>DJRE.AXW</v>
          </cell>
          <cell r="D90">
            <v>915</v>
          </cell>
          <cell r="E90">
            <v>10722677.814999999</v>
          </cell>
          <cell r="F90">
            <v>2108</v>
          </cell>
          <cell r="G90">
            <v>507463</v>
          </cell>
          <cell r="J90" t="str">
            <v>DJRE.AXW</v>
          </cell>
          <cell r="K90" t="str">
            <v>DJRE</v>
          </cell>
          <cell r="L90">
            <v>2</v>
          </cell>
          <cell r="M90">
            <v>239547878</v>
          </cell>
          <cell r="N90">
            <v>11502980</v>
          </cell>
          <cell r="O90">
            <v>41582</v>
          </cell>
          <cell r="P90" t="str">
            <v>ETF Units</v>
          </cell>
          <cell r="Q90" t="str">
            <v>Exchange Traded Fund Units Fully Paid</v>
          </cell>
          <cell r="R90" t="str">
            <v>SPDR DOW JONES GLOBAL REAL ESTATE FUND</v>
          </cell>
          <cell r="S90">
            <v>0</v>
          </cell>
          <cell r="T90">
            <v>61.619299999999996</v>
          </cell>
          <cell r="U90">
            <v>2162</v>
          </cell>
          <cell r="V90">
            <v>1845</v>
          </cell>
          <cell r="X90" t="str">
            <v>DJRE.AXW</v>
          </cell>
          <cell r="Y90">
            <v>2070</v>
          </cell>
          <cell r="Z90" t="str">
            <v>DJRE.AXW</v>
          </cell>
          <cell r="AA90">
            <v>2019.0000000000002</v>
          </cell>
          <cell r="AB90" t="str">
            <v>DJRE.AXW</v>
          </cell>
          <cell r="AC90">
            <v>1955.9999999999998</v>
          </cell>
          <cell r="AD90" t="str">
            <v>DJRE.AXW</v>
          </cell>
          <cell r="AE90">
            <v>71.157601833343506</v>
          </cell>
          <cell r="AF90" t="str">
            <v>DJRE.AXW</v>
          </cell>
          <cell r="AG90">
            <v>2108</v>
          </cell>
        </row>
        <row r="91">
          <cell r="A91" t="str">
            <v>DJW</v>
          </cell>
          <cell r="B91" t="str">
            <v>DJW.ASX</v>
          </cell>
          <cell r="C91" t="str">
            <v>DJW.ASX</v>
          </cell>
          <cell r="D91">
            <v>1283</v>
          </cell>
          <cell r="E91">
            <v>10803562.495000001</v>
          </cell>
          <cell r="F91">
            <v>338</v>
          </cell>
          <cell r="G91">
            <v>3189759</v>
          </cell>
          <cell r="J91" t="str">
            <v>DJW.ASX</v>
          </cell>
          <cell r="K91" t="str">
            <v>DJW</v>
          </cell>
          <cell r="L91">
            <v>2</v>
          </cell>
          <cell r="M91">
            <v>744596697.75</v>
          </cell>
          <cell r="N91">
            <v>220948575</v>
          </cell>
          <cell r="O91">
            <v>34878</v>
          </cell>
          <cell r="P91" t="str">
            <v>Fpo</v>
          </cell>
          <cell r="Q91" t="str">
            <v>Ordinary Fully Paid</v>
          </cell>
          <cell r="R91" t="str">
            <v>Djerriwarrh Investments Limited</v>
          </cell>
          <cell r="S91">
            <v>323</v>
          </cell>
          <cell r="T91">
            <v>20</v>
          </cell>
          <cell r="U91">
            <v>387</v>
          </cell>
          <cell r="V91">
            <v>315</v>
          </cell>
          <cell r="X91" t="str">
            <v>DJW.ASX</v>
          </cell>
          <cell r="Y91">
            <v>342</v>
          </cell>
          <cell r="Z91" t="str">
            <v>DJW.ASX</v>
          </cell>
          <cell r="AA91">
            <v>368</v>
          </cell>
          <cell r="AB91" t="str">
            <v>DJW.ASX</v>
          </cell>
          <cell r="AC91">
            <v>469.00000000000006</v>
          </cell>
          <cell r="AD91" t="str">
            <v>DJW.ASX</v>
          </cell>
          <cell r="AE91">
            <v>425</v>
          </cell>
          <cell r="AF91" t="str">
            <v>DJW.ASX</v>
          </cell>
          <cell r="AG91">
            <v>338</v>
          </cell>
        </row>
        <row r="92">
          <cell r="A92" t="str">
            <v>DMKT</v>
          </cell>
          <cell r="B92" t="str">
            <v>DMKT.AXW</v>
          </cell>
          <cell r="C92" t="str">
            <v>DMKT.AXW</v>
          </cell>
          <cell r="D92">
            <v>47</v>
          </cell>
          <cell r="E92">
            <v>865882.29999999981</v>
          </cell>
          <cell r="F92">
            <v>263</v>
          </cell>
          <cell r="G92">
            <v>325525</v>
          </cell>
          <cell r="J92" t="str">
            <v>DMKT.AXW</v>
          </cell>
          <cell r="K92" t="str">
            <v>DMKT</v>
          </cell>
          <cell r="L92">
            <v>2</v>
          </cell>
          <cell r="M92">
            <v>28061391.260000002</v>
          </cell>
          <cell r="N92">
            <v>10970592</v>
          </cell>
          <cell r="O92">
            <v>42585</v>
          </cell>
          <cell r="P92" t="str">
            <v>Tmf Units</v>
          </cell>
          <cell r="Q92" t="str">
            <v>Trading Managed Fund Units Fully Paid</v>
          </cell>
          <cell r="R92" t="str">
            <v>AMP Cap Dynamic Markets (Hedge Fund)</v>
          </cell>
          <cell r="S92">
            <v>0</v>
          </cell>
          <cell r="T92">
            <v>7.3558000000000003</v>
          </cell>
          <cell r="U92">
            <v>273</v>
          </cell>
          <cell r="V92">
            <v>250</v>
          </cell>
          <cell r="X92" t="str">
            <v>DMKT.AXW</v>
          </cell>
          <cell r="Y92">
            <v>268</v>
          </cell>
          <cell r="Z92" t="str">
            <v>DMKT.AXW</v>
          </cell>
          <cell r="AA92">
            <v>262</v>
          </cell>
          <cell r="AB92" t="str">
            <v>DMKT.AXW</v>
          </cell>
          <cell r="AC92">
            <v>2034</v>
          </cell>
          <cell r="AD92" t="str">
            <v>DMKT.AXW</v>
          </cell>
          <cell r="AE92">
            <v>414</v>
          </cell>
          <cell r="AF92" t="str">
            <v>DMKT.AXW</v>
          </cell>
          <cell r="AG92">
            <v>263</v>
          </cell>
        </row>
        <row r="93">
          <cell r="A93" t="str">
            <v>DRUG</v>
          </cell>
          <cell r="B93" t="str">
            <v>DRUG.AXW</v>
          </cell>
          <cell r="C93" t="str">
            <v>DRUG.AXW</v>
          </cell>
          <cell r="D93">
            <v>116</v>
          </cell>
          <cell r="E93">
            <v>2565929.1200000006</v>
          </cell>
          <cell r="F93">
            <v>560</v>
          </cell>
          <cell r="G93">
            <v>457925</v>
          </cell>
          <cell r="J93" t="str">
            <v>DRUG.AXW</v>
          </cell>
          <cell r="K93" t="str">
            <v>DRUG</v>
          </cell>
          <cell r="L93">
            <v>2</v>
          </cell>
          <cell r="M93">
            <v>21682439</v>
          </cell>
          <cell r="N93">
            <v>4400450</v>
          </cell>
          <cell r="O93">
            <v>42590</v>
          </cell>
          <cell r="P93" t="str">
            <v>ETF Units</v>
          </cell>
          <cell r="Q93" t="str">
            <v>Exchange Traded Fund Units Fully Paid</v>
          </cell>
          <cell r="R93" t="str">
            <v>Betashares Global Healthcare ETF</v>
          </cell>
          <cell r="S93">
            <v>0</v>
          </cell>
          <cell r="T93">
            <v>20.090900000000001</v>
          </cell>
          <cell r="U93">
            <v>596</v>
          </cell>
          <cell r="V93">
            <v>513</v>
          </cell>
          <cell r="X93" t="str">
            <v>DRUG.AXW</v>
          </cell>
          <cell r="Y93">
            <v>550</v>
          </cell>
          <cell r="Z93" t="str">
            <v>DRUG.AXW</v>
          </cell>
          <cell r="AA93">
            <v>536</v>
          </cell>
          <cell r="AB93" t="str">
            <v>DRUG.AXW</v>
          </cell>
          <cell r="AC93">
            <v>1957.9999999999998</v>
          </cell>
          <cell r="AD93" t="str">
            <v>DRUG.AXW</v>
          </cell>
          <cell r="AF93" t="str">
            <v>DRUG.AXW</v>
          </cell>
          <cell r="AG93">
            <v>560</v>
          </cell>
        </row>
        <row r="94">
          <cell r="A94" t="str">
            <v>DUI</v>
          </cell>
          <cell r="B94" t="str">
            <v>DUI.ASX</v>
          </cell>
          <cell r="C94" t="str">
            <v>DUI.ASX</v>
          </cell>
          <cell r="D94">
            <v>366</v>
          </cell>
          <cell r="E94">
            <v>5780951.0750000002</v>
          </cell>
          <cell r="F94">
            <v>409.99999999999994</v>
          </cell>
          <cell r="G94">
            <v>1417491</v>
          </cell>
          <cell r="J94" t="str">
            <v>DUI.ASX</v>
          </cell>
          <cell r="K94" t="str">
            <v>DUI</v>
          </cell>
          <cell r="L94">
            <v>2</v>
          </cell>
          <cell r="M94">
            <v>864547239.55999994</v>
          </cell>
          <cell r="N94">
            <v>209841563</v>
          </cell>
          <cell r="O94">
            <v>33591</v>
          </cell>
          <cell r="P94" t="str">
            <v>Fpo</v>
          </cell>
          <cell r="Q94" t="str">
            <v>Ordinary Fully Paid</v>
          </cell>
          <cell r="R94" t="str">
            <v>Diversified United Investment Limited</v>
          </cell>
          <cell r="S94">
            <v>369</v>
          </cell>
          <cell r="T94">
            <v>14.5</v>
          </cell>
          <cell r="U94">
            <v>420</v>
          </cell>
          <cell r="V94">
            <v>366</v>
          </cell>
          <cell r="X94" t="str">
            <v>DUI.ASX</v>
          </cell>
          <cell r="Y94">
            <v>404</v>
          </cell>
          <cell r="Z94" t="str">
            <v>DUI.ASX</v>
          </cell>
          <cell r="AA94">
            <v>372</v>
          </cell>
          <cell r="AB94" t="str">
            <v>DUI.ASX</v>
          </cell>
          <cell r="AC94">
            <v>351</v>
          </cell>
          <cell r="AD94" t="str">
            <v>DUI.ASX</v>
          </cell>
          <cell r="AE94">
            <v>291.65999293327332</v>
          </cell>
          <cell r="AF94" t="str">
            <v>DUI.ASX</v>
          </cell>
          <cell r="AG94">
            <v>409.99999999999994</v>
          </cell>
        </row>
        <row r="95">
          <cell r="A95" t="str">
            <v>DXS</v>
          </cell>
          <cell r="B95" t="str">
            <v>DXS.ASX</v>
          </cell>
          <cell r="C95" t="str">
            <v>DXS.ASX</v>
          </cell>
          <cell r="D95">
            <v>149711</v>
          </cell>
          <cell r="E95">
            <v>728986452.47989988</v>
          </cell>
          <cell r="F95">
            <v>971.00000000000011</v>
          </cell>
          <cell r="G95">
            <v>74414878</v>
          </cell>
          <cell r="J95" t="str">
            <v>DXS.ASX</v>
          </cell>
          <cell r="K95" t="str">
            <v>DXS</v>
          </cell>
          <cell r="L95">
            <v>2</v>
          </cell>
          <cell r="M95">
            <v>9920278720</v>
          </cell>
          <cell r="N95">
            <v>1017196877</v>
          </cell>
          <cell r="O95">
            <v>38266</v>
          </cell>
          <cell r="P95" t="str">
            <v>Stapled</v>
          </cell>
          <cell r="Q95" t="str">
            <v>Units Fully Paid Stapled</v>
          </cell>
          <cell r="R95" t="str">
            <v>Dexus</v>
          </cell>
          <cell r="S95">
            <v>916</v>
          </cell>
          <cell r="T95">
            <v>47.8</v>
          </cell>
          <cell r="U95">
            <v>1074</v>
          </cell>
          <cell r="V95">
            <v>898.5</v>
          </cell>
          <cell r="X95" t="str">
            <v>DXS.ASX</v>
          </cell>
          <cell r="Y95">
            <v>989</v>
          </cell>
          <cell r="Z95" t="str">
            <v>DXS.ASX</v>
          </cell>
          <cell r="AA95">
            <v>948</v>
          </cell>
          <cell r="AB95" t="str">
            <v>DXS.ASX</v>
          </cell>
          <cell r="AC95">
            <v>730</v>
          </cell>
          <cell r="AD95" t="str">
            <v>DXS.ASX</v>
          </cell>
          <cell r="AE95">
            <v>642</v>
          </cell>
          <cell r="AF95" t="str">
            <v>DXS.ASX</v>
          </cell>
          <cell r="AG95">
            <v>971.00000000000011</v>
          </cell>
        </row>
        <row r="96">
          <cell r="A96" t="str">
            <v>EAF</v>
          </cell>
          <cell r="B96" t="str">
            <v>EAF.ASX</v>
          </cell>
          <cell r="C96" t="str">
            <v>EAF.ASX</v>
          </cell>
          <cell r="D96">
            <v>98</v>
          </cell>
          <cell r="E96">
            <v>1201672.7100000002</v>
          </cell>
          <cell r="F96">
            <v>121</v>
          </cell>
          <cell r="G96">
            <v>967865</v>
          </cell>
          <cell r="J96" t="str">
            <v>EAF.ASX</v>
          </cell>
          <cell r="K96" t="str">
            <v>EAF</v>
          </cell>
          <cell r="L96">
            <v>2</v>
          </cell>
          <cell r="M96">
            <v>157717180.17000002</v>
          </cell>
          <cell r="N96">
            <v>130344777</v>
          </cell>
          <cell r="O96">
            <v>43237</v>
          </cell>
          <cell r="P96" t="str">
            <v>Units</v>
          </cell>
          <cell r="Q96" t="str">
            <v>Ordinary Units Fully Paid</v>
          </cell>
          <cell r="R96" t="str">
            <v>Evans &amp; Partners Asia Fund</v>
          </cell>
          <cell r="S96">
            <v>0</v>
          </cell>
          <cell r="T96">
            <v>2.6</v>
          </cell>
          <cell r="U96">
            <v>127.5</v>
          </cell>
          <cell r="V96">
            <v>110</v>
          </cell>
          <cell r="X96" t="str">
            <v>EAF.ASX</v>
          </cell>
          <cell r="Y96">
            <v>122</v>
          </cell>
          <cell r="Z96" t="str">
            <v>EAF.ASX</v>
          </cell>
          <cell r="AB96" t="str">
            <v>EAF.ASX</v>
          </cell>
          <cell r="AD96" t="str">
            <v>EAF.ASX</v>
          </cell>
          <cell r="AF96" t="str">
            <v>EAF.ASX</v>
          </cell>
          <cell r="AG96">
            <v>121</v>
          </cell>
        </row>
        <row r="97">
          <cell r="A97" t="str">
            <v>EAI</v>
          </cell>
          <cell r="B97" t="str">
            <v>EAI.ASX</v>
          </cell>
          <cell r="C97" t="str">
            <v>EAI.ASX</v>
          </cell>
          <cell r="D97">
            <v>411</v>
          </cell>
          <cell r="E97">
            <v>3258547.4349999996</v>
          </cell>
          <cell r="F97">
            <v>107</v>
          </cell>
          <cell r="G97">
            <v>2996718</v>
          </cell>
          <cell r="J97" t="str">
            <v>EAI.ASX</v>
          </cell>
          <cell r="K97" t="str">
            <v>EAI</v>
          </cell>
          <cell r="L97">
            <v>2</v>
          </cell>
          <cell r="M97">
            <v>115514131.245</v>
          </cell>
          <cell r="N97">
            <v>108463973</v>
          </cell>
          <cell r="O97">
            <v>42262</v>
          </cell>
          <cell r="P97" t="str">
            <v>Fpo</v>
          </cell>
          <cell r="Q97" t="str">
            <v>Ordinary Fully Paid</v>
          </cell>
          <cell r="R97" t="str">
            <v>Ellerston Asian Investments Limited</v>
          </cell>
          <cell r="S97">
            <v>116</v>
          </cell>
          <cell r="U97">
            <v>116.5</v>
          </cell>
          <cell r="V97">
            <v>90</v>
          </cell>
          <cell r="X97" t="str">
            <v>EAI.ASX</v>
          </cell>
          <cell r="Y97">
            <v>110.00000000000001</v>
          </cell>
          <cell r="Z97" t="str">
            <v>EAI.ASX</v>
          </cell>
          <cell r="AA97">
            <v>93.5</v>
          </cell>
          <cell r="AB97" t="str">
            <v>EAI.ASX</v>
          </cell>
          <cell r="AD97" t="str">
            <v>EAI.ASX</v>
          </cell>
          <cell r="AF97" t="str">
            <v>EAI.ASX</v>
          </cell>
          <cell r="AG97">
            <v>107</v>
          </cell>
        </row>
        <row r="98">
          <cell r="A98" t="str">
            <v>EEU</v>
          </cell>
          <cell r="B98" t="str">
            <v>EEU.AXW</v>
          </cell>
          <cell r="C98" t="str">
            <v>EEU.AXW</v>
          </cell>
          <cell r="D98">
            <v>54</v>
          </cell>
          <cell r="E98">
            <v>1477029.55</v>
          </cell>
          <cell r="F98">
            <v>1520</v>
          </cell>
          <cell r="G98">
            <v>97505</v>
          </cell>
          <cell r="J98" t="str">
            <v>EEU.AXW</v>
          </cell>
          <cell r="K98" t="str">
            <v>EEU</v>
          </cell>
          <cell r="L98">
            <v>2</v>
          </cell>
          <cell r="M98">
            <v>8208000</v>
          </cell>
          <cell r="N98">
            <v>540000</v>
          </cell>
          <cell r="O98">
            <v>40735</v>
          </cell>
          <cell r="P98" t="str">
            <v>ETF Units</v>
          </cell>
          <cell r="Q98" t="str">
            <v>Exchange Traded Fund Units Fully Paid</v>
          </cell>
          <cell r="R98" t="str">
            <v>Betashares Euro ETF</v>
          </cell>
          <cell r="S98">
            <v>0</v>
          </cell>
          <cell r="U98">
            <v>1566</v>
          </cell>
          <cell r="V98">
            <v>1419</v>
          </cell>
          <cell r="X98" t="str">
            <v>EEU.AXW</v>
          </cell>
          <cell r="Y98">
            <v>1490</v>
          </cell>
          <cell r="Z98" t="str">
            <v>EEU.AXW</v>
          </cell>
          <cell r="AA98">
            <v>1451</v>
          </cell>
          <cell r="AB98" t="str">
            <v>EEU.AXW</v>
          </cell>
          <cell r="AC98">
            <v>1432</v>
          </cell>
          <cell r="AD98" t="str">
            <v>EEU.AXW</v>
          </cell>
          <cell r="AE98">
            <v>1402</v>
          </cell>
          <cell r="AF98" t="str">
            <v>EEU.AXW</v>
          </cell>
          <cell r="AG98">
            <v>1520</v>
          </cell>
        </row>
        <row r="99">
          <cell r="A99" t="str">
            <v>EGD</v>
          </cell>
          <cell r="B99" t="str">
            <v>EGD.ASX</v>
          </cell>
          <cell r="C99" t="str">
            <v>EGD.ASX</v>
          </cell>
          <cell r="D99">
            <v>243</v>
          </cell>
          <cell r="E99">
            <v>2500947.65</v>
          </cell>
          <cell r="F99">
            <v>211</v>
          </cell>
          <cell r="G99">
            <v>1182793</v>
          </cell>
          <cell r="J99" t="str">
            <v>EGD.ASX</v>
          </cell>
          <cell r="K99" t="str">
            <v>EGD</v>
          </cell>
          <cell r="L99">
            <v>2</v>
          </cell>
          <cell r="M99">
            <v>269598146.08999997</v>
          </cell>
          <cell r="N99">
            <v>124238777</v>
          </cell>
          <cell r="O99">
            <v>42948</v>
          </cell>
          <cell r="P99" t="str">
            <v>Units</v>
          </cell>
          <cell r="Q99" t="str">
            <v>Ordinary Units Fully Paid</v>
          </cell>
          <cell r="R99" t="str">
            <v>Evans &amp; Partners Global Disruption Fund</v>
          </cell>
          <cell r="S99">
            <v>204</v>
          </cell>
          <cell r="T99">
            <v>4</v>
          </cell>
          <cell r="U99">
            <v>224</v>
          </cell>
          <cell r="V99">
            <v>160</v>
          </cell>
          <cell r="X99" t="str">
            <v>EGD.ASX</v>
          </cell>
          <cell r="Y99">
            <v>202.99999999999997</v>
          </cell>
          <cell r="Z99" t="str">
            <v>EGD.ASX</v>
          </cell>
          <cell r="AA99">
            <v>961.99999999999989</v>
          </cell>
          <cell r="AB99" t="str">
            <v>EGD.ASX</v>
          </cell>
          <cell r="AC99">
            <v>697</v>
          </cell>
          <cell r="AD99" t="str">
            <v>EGD.ASX</v>
          </cell>
          <cell r="AE99">
            <v>608.99999999999989</v>
          </cell>
          <cell r="AF99" t="str">
            <v>EGD.ASX</v>
          </cell>
          <cell r="AG99">
            <v>211</v>
          </cell>
        </row>
        <row r="100">
          <cell r="A100" t="str">
            <v>EGI</v>
          </cell>
          <cell r="B100" t="str">
            <v>EGI.ASX</v>
          </cell>
          <cell r="C100" t="str">
            <v>EGI.ASX</v>
          </cell>
          <cell r="D100">
            <v>229</v>
          </cell>
          <cell r="E100">
            <v>2806428.1399999997</v>
          </cell>
          <cell r="F100">
            <v>107</v>
          </cell>
          <cell r="G100">
            <v>2584689</v>
          </cell>
          <cell r="J100" t="str">
            <v>EGI.ASX</v>
          </cell>
          <cell r="K100" t="str">
            <v>EGI</v>
          </cell>
          <cell r="L100">
            <v>2</v>
          </cell>
          <cell r="M100">
            <v>117837411.77500001</v>
          </cell>
          <cell r="N100">
            <v>109616197</v>
          </cell>
          <cell r="O100">
            <v>41932</v>
          </cell>
          <cell r="P100" t="str">
            <v>Fpo</v>
          </cell>
          <cell r="Q100" t="str">
            <v>Ordinary Fully Paid</v>
          </cell>
          <cell r="R100" t="str">
            <v>Ellerston Global Investments Limited</v>
          </cell>
          <cell r="S100">
            <v>111</v>
          </cell>
          <cell r="T100">
            <v>3</v>
          </cell>
          <cell r="U100">
            <v>118</v>
          </cell>
          <cell r="V100">
            <v>99.5</v>
          </cell>
          <cell r="X100" t="str">
            <v>EGI.ASX</v>
          </cell>
          <cell r="Y100">
            <v>107.5</v>
          </cell>
          <cell r="Z100" t="str">
            <v>EGI.ASX</v>
          </cell>
          <cell r="AA100">
            <v>101</v>
          </cell>
          <cell r="AB100" t="str">
            <v>EGI.ASX</v>
          </cell>
          <cell r="AC100">
            <v>114.99999999999999</v>
          </cell>
          <cell r="AD100" t="str">
            <v>EGI.ASX</v>
          </cell>
          <cell r="AF100" t="str">
            <v>EGI.ASX</v>
          </cell>
          <cell r="AG100">
            <v>107</v>
          </cell>
        </row>
        <row r="101">
          <cell r="A101" t="str">
            <v>EIGA</v>
          </cell>
          <cell r="B101" t="str">
            <v>EIGA.AXW</v>
          </cell>
          <cell r="C101" t="str">
            <v>EIGA.AXW</v>
          </cell>
          <cell r="D101">
            <v>36</v>
          </cell>
          <cell r="E101">
            <v>1238231.73</v>
          </cell>
          <cell r="F101">
            <v>413</v>
          </cell>
          <cell r="G101">
            <v>305995</v>
          </cell>
          <cell r="J101" t="str">
            <v>EIGA.AXW</v>
          </cell>
          <cell r="K101" t="str">
            <v>EIGA</v>
          </cell>
          <cell r="L101">
            <v>2</v>
          </cell>
          <cell r="M101">
            <v>17310179.5</v>
          </cell>
          <cell r="N101">
            <v>4295349</v>
          </cell>
          <cell r="O101">
            <v>43227</v>
          </cell>
          <cell r="P101" t="str">
            <v>Tmf Units</v>
          </cell>
          <cell r="Q101" t="str">
            <v>Trading Managed Units Fully Paid</v>
          </cell>
          <cell r="R101" t="str">
            <v>Einvest Income Generator Fund (Managed)</v>
          </cell>
          <cell r="S101">
            <v>0</v>
          </cell>
          <cell r="U101">
            <v>413</v>
          </cell>
          <cell r="V101">
            <v>395</v>
          </cell>
          <cell r="X101" t="str">
            <v>EIGA.AXW</v>
          </cell>
          <cell r="Y101">
            <v>395</v>
          </cell>
          <cell r="Z101" t="str">
            <v>EIGA.AXW</v>
          </cell>
          <cell r="AB101" t="str">
            <v>EIGA.AXW</v>
          </cell>
          <cell r="AD101" t="str">
            <v>EIGA.AXW</v>
          </cell>
          <cell r="AF101" t="str">
            <v>EIGA.AXW</v>
          </cell>
          <cell r="AG101">
            <v>413</v>
          </cell>
        </row>
        <row r="102">
          <cell r="A102" t="str">
            <v>EINC</v>
          </cell>
          <cell r="B102" t="str">
            <v>EINC.AXW</v>
          </cell>
          <cell r="C102" t="str">
            <v>EINC.AXW</v>
          </cell>
          <cell r="D102">
            <v>44</v>
          </cell>
          <cell r="E102">
            <v>2437664.2799999998</v>
          </cell>
          <cell r="F102">
            <v>827.99999999999989</v>
          </cell>
          <cell r="G102">
            <v>296734</v>
          </cell>
          <cell r="J102" t="str">
            <v>EINC.AXW</v>
          </cell>
          <cell r="K102" t="str">
            <v>EINC</v>
          </cell>
          <cell r="L102">
            <v>2</v>
          </cell>
          <cell r="M102">
            <v>10925857.439999999</v>
          </cell>
          <cell r="N102">
            <v>1557026</v>
          </cell>
          <cell r="O102">
            <v>43150</v>
          </cell>
          <cell r="P102" t="str">
            <v>Tmf Units</v>
          </cell>
          <cell r="Q102" t="str">
            <v>Trading Managed Units Fully Paid</v>
          </cell>
          <cell r="R102" t="str">
            <v>BetaShares Legg Mason Equity Income Fund (Managed Fund)</v>
          </cell>
          <cell r="S102">
            <v>0</v>
          </cell>
          <cell r="T102">
            <v>7.7846000000000002</v>
          </cell>
          <cell r="U102">
            <v>836</v>
          </cell>
          <cell r="V102">
            <v>794</v>
          </cell>
          <cell r="X102" t="str">
            <v>EINC.AXW</v>
          </cell>
          <cell r="Y102">
            <v>805.00000000000011</v>
          </cell>
          <cell r="Z102" t="str">
            <v>EINC.AXW</v>
          </cell>
          <cell r="AA102">
            <v>179</v>
          </cell>
          <cell r="AB102" t="str">
            <v>EINC.AXW</v>
          </cell>
          <cell r="AC102">
            <v>194</v>
          </cell>
          <cell r="AD102" t="str">
            <v>EINC.AXW</v>
          </cell>
          <cell r="AE102">
            <v>170</v>
          </cell>
          <cell r="AF102" t="str">
            <v>EINC.AXW</v>
          </cell>
          <cell r="AG102">
            <v>827.99999999999989</v>
          </cell>
        </row>
        <row r="103">
          <cell r="A103" t="str">
            <v>EMF</v>
          </cell>
          <cell r="B103" t="str">
            <v>EMF.ASX</v>
          </cell>
          <cell r="C103" t="str">
            <v>EMF.ASX</v>
          </cell>
          <cell r="D103">
            <v>203</v>
          </cell>
          <cell r="E103">
            <v>3006684.5150000006</v>
          </cell>
          <cell r="F103">
            <v>146</v>
          </cell>
          <cell r="G103">
            <v>1518772</v>
          </cell>
          <cell r="J103" t="str">
            <v>EMF.ASX</v>
          </cell>
          <cell r="K103" t="str">
            <v>EMF</v>
          </cell>
          <cell r="L103">
            <v>2</v>
          </cell>
          <cell r="M103">
            <v>139530023.14000002</v>
          </cell>
          <cell r="N103">
            <v>95568509</v>
          </cell>
          <cell r="O103">
            <v>41193</v>
          </cell>
          <cell r="P103" t="str">
            <v>Unit</v>
          </cell>
          <cell r="Q103" t="str">
            <v>Ordinary Units Fully Paid</v>
          </cell>
          <cell r="R103" t="str">
            <v>Emerging Markets Masters Fund</v>
          </cell>
          <cell r="S103">
            <v>205</v>
          </cell>
          <cell r="T103">
            <v>52.179000000000002</v>
          </cell>
          <cell r="U103">
            <v>219</v>
          </cell>
          <cell r="V103">
            <v>145.5</v>
          </cell>
          <cell r="X103" t="str">
            <v>EMF.ASX</v>
          </cell>
          <cell r="Y103">
            <v>198</v>
          </cell>
          <cell r="Z103" t="str">
            <v>EMF.ASX</v>
          </cell>
          <cell r="AA103">
            <v>189</v>
          </cell>
          <cell r="AB103" t="str">
            <v>EMF.ASX</v>
          </cell>
          <cell r="AC103">
            <v>200.99999999999997</v>
          </cell>
          <cell r="AD103" t="str">
            <v>EMF.ASX</v>
          </cell>
          <cell r="AE103">
            <v>162</v>
          </cell>
          <cell r="AF103" t="str">
            <v>EMF.ASX</v>
          </cell>
          <cell r="AG103">
            <v>146</v>
          </cell>
        </row>
        <row r="104">
          <cell r="A104" t="str">
            <v>EQF</v>
          </cell>
          <cell r="B104" t="str">
            <v>EQF.ASX</v>
          </cell>
          <cell r="C104" t="str">
            <v>EQF.ASX</v>
          </cell>
          <cell r="D104">
            <v>17</v>
          </cell>
          <cell r="E104">
            <v>45969.174999999996</v>
          </cell>
          <cell r="F104">
            <v>103</v>
          </cell>
          <cell r="G104">
            <v>44638</v>
          </cell>
          <cell r="J104" t="str">
            <v>EQF.ASX</v>
          </cell>
          <cell r="K104" t="str">
            <v>EAS</v>
          </cell>
          <cell r="L104">
            <v>2</v>
          </cell>
          <cell r="M104">
            <v>35897524.979999997</v>
          </cell>
          <cell r="N104">
            <v>34851966</v>
          </cell>
          <cell r="O104">
            <v>38566</v>
          </cell>
          <cell r="P104" t="str">
            <v>Fpo</v>
          </cell>
          <cell r="Q104" t="str">
            <v>Ordinary Fully Paid</v>
          </cell>
          <cell r="R104" t="str">
            <v>Easton Investments Limited</v>
          </cell>
          <cell r="S104">
            <v>-9</v>
          </cell>
          <cell r="U104">
            <v>140</v>
          </cell>
          <cell r="V104">
            <v>95</v>
          </cell>
          <cell r="X104" t="str">
            <v>EQF.ASX</v>
          </cell>
          <cell r="Y104">
            <v>95</v>
          </cell>
          <cell r="Z104" t="str">
            <v>EQF.ASX</v>
          </cell>
          <cell r="AA104">
            <v>130</v>
          </cell>
          <cell r="AB104" t="str">
            <v>EQF.ASX</v>
          </cell>
          <cell r="AC104">
            <v>70</v>
          </cell>
          <cell r="AD104" t="str">
            <v>EQF.ASX</v>
          </cell>
          <cell r="AE104">
            <v>75</v>
          </cell>
          <cell r="AF104" t="str">
            <v>EQF.ASX</v>
          </cell>
          <cell r="AG104">
            <v>103</v>
          </cell>
        </row>
        <row r="105">
          <cell r="A105" t="str">
            <v>EMKT</v>
          </cell>
          <cell r="B105" t="str">
            <v>EMKT.AXW</v>
          </cell>
          <cell r="C105" t="str">
            <v>EMKT.AXW</v>
          </cell>
          <cell r="D105">
            <v>42</v>
          </cell>
          <cell r="E105">
            <v>1821411.4100000001</v>
          </cell>
          <cell r="F105">
            <v>1928</v>
          </cell>
          <cell r="G105">
            <v>91506</v>
          </cell>
          <cell r="J105" t="str">
            <v>EMKT.AXW</v>
          </cell>
          <cell r="K105" t="str">
            <v>EMKT</v>
          </cell>
          <cell r="L105">
            <v>2</v>
          </cell>
          <cell r="M105">
            <v>3856000</v>
          </cell>
          <cell r="N105">
            <v>200000</v>
          </cell>
          <cell r="O105">
            <v>43202</v>
          </cell>
          <cell r="P105" t="str">
            <v>ETF Units</v>
          </cell>
          <cell r="Q105" t="str">
            <v>Exchange Traded Fund Units Fully Paid</v>
          </cell>
          <cell r="R105" t="str">
            <v>Vaneck Vctrs MSCI Multif Emer Eqty ETF</v>
          </cell>
          <cell r="S105">
            <v>0</v>
          </cell>
          <cell r="T105">
            <v>9</v>
          </cell>
          <cell r="U105">
            <v>2075</v>
          </cell>
          <cell r="V105">
            <v>1910</v>
          </cell>
          <cell r="X105" t="str">
            <v>EMKT.AXW</v>
          </cell>
          <cell r="Y105">
            <v>2016</v>
          </cell>
          <cell r="Z105" t="str">
            <v>EMKT.AXW</v>
          </cell>
          <cell r="AA105">
            <v>129</v>
          </cell>
          <cell r="AB105" t="str">
            <v>EMKT.AXW</v>
          </cell>
          <cell r="AD105" t="str">
            <v>EMKT.AXW</v>
          </cell>
          <cell r="AF105" t="str">
            <v>EMKT.AXW</v>
          </cell>
          <cell r="AG105">
            <v>1928</v>
          </cell>
        </row>
        <row r="106">
          <cell r="A106" t="str">
            <v>ERF</v>
          </cell>
          <cell r="B106" t="str">
            <v>ERF.ASX</v>
          </cell>
          <cell r="C106" t="str">
            <v>ERF.ASX</v>
          </cell>
          <cell r="D106">
            <v>96</v>
          </cell>
          <cell r="E106">
            <v>562075.53499999992</v>
          </cell>
          <cell r="F106">
            <v>129</v>
          </cell>
          <cell r="G106">
            <v>438641</v>
          </cell>
          <cell r="J106" t="str">
            <v>ERF.ASX</v>
          </cell>
          <cell r="K106" t="str">
            <v>ERF</v>
          </cell>
          <cell r="L106">
            <v>2</v>
          </cell>
          <cell r="M106">
            <v>166061383.94999999</v>
          </cell>
          <cell r="N106">
            <v>128729755</v>
          </cell>
          <cell r="O106">
            <v>42683</v>
          </cell>
          <cell r="P106" t="str">
            <v>Stapled</v>
          </cell>
          <cell r="Q106" t="str">
            <v>Stapled Securities</v>
          </cell>
          <cell r="R106" t="str">
            <v>Elanor Retail Property Fund</v>
          </cell>
          <cell r="S106">
            <v>147</v>
          </cell>
          <cell r="T106">
            <v>10.310700000000001</v>
          </cell>
          <cell r="U106">
            <v>138.5</v>
          </cell>
          <cell r="V106">
            <v>123.5</v>
          </cell>
          <cell r="X106" t="str">
            <v>ERF.ASX</v>
          </cell>
          <cell r="Y106">
            <v>130</v>
          </cell>
          <cell r="Z106" t="str">
            <v>ERF.ASX</v>
          </cell>
          <cell r="AA106">
            <v>137</v>
          </cell>
          <cell r="AB106" t="str">
            <v>ERF.ASX</v>
          </cell>
          <cell r="AC106">
            <v>113.99999999999999</v>
          </cell>
          <cell r="AD106" t="str">
            <v>ERF.ASX</v>
          </cell>
          <cell r="AF106" t="str">
            <v>ERF.ASX</v>
          </cell>
          <cell r="AG106">
            <v>129</v>
          </cell>
        </row>
        <row r="107">
          <cell r="A107" t="str">
            <v>ESGI</v>
          </cell>
          <cell r="B107" t="str">
            <v>ESGI.AXW</v>
          </cell>
          <cell r="C107" t="str">
            <v>ESGI.AXW</v>
          </cell>
          <cell r="D107">
            <v>45</v>
          </cell>
          <cell r="E107">
            <v>3085332.4000000004</v>
          </cell>
          <cell r="F107">
            <v>2085</v>
          </cell>
          <cell r="G107">
            <v>146640</v>
          </cell>
          <cell r="J107" t="str">
            <v>ESGI.AXW</v>
          </cell>
          <cell r="K107" t="str">
            <v>ESGI</v>
          </cell>
          <cell r="L107">
            <v>2</v>
          </cell>
          <cell r="M107">
            <v>4170000</v>
          </cell>
          <cell r="N107">
            <v>200000</v>
          </cell>
          <cell r="O107">
            <v>43167</v>
          </cell>
          <cell r="P107" t="str">
            <v>ETF Units</v>
          </cell>
          <cell r="Q107" t="str">
            <v>Exchange Traded Fund Units Fully Paid</v>
          </cell>
          <cell r="R107" t="str">
            <v>Vaneck Vectors MSCI International Sustainable Equity ETF</v>
          </cell>
          <cell r="S107">
            <v>0</v>
          </cell>
          <cell r="T107">
            <v>10</v>
          </cell>
          <cell r="U107">
            <v>2133</v>
          </cell>
          <cell r="V107">
            <v>1978</v>
          </cell>
          <cell r="X107" t="str">
            <v>ESGI.AXW</v>
          </cell>
          <cell r="Y107">
            <v>2058</v>
          </cell>
          <cell r="Z107" t="str">
            <v>ESGI.AXW</v>
          </cell>
          <cell r="AA107">
            <v>6075</v>
          </cell>
          <cell r="AB107" t="str">
            <v>ESGI.AXW</v>
          </cell>
          <cell r="AD107" t="str">
            <v>ESGI.AXW</v>
          </cell>
          <cell r="AF107" t="str">
            <v>ESGI.AXW</v>
          </cell>
          <cell r="AG107">
            <v>2085</v>
          </cell>
        </row>
        <row r="108">
          <cell r="A108" t="str">
            <v>ESTX</v>
          </cell>
          <cell r="B108" t="str">
            <v>ESTX.AXW</v>
          </cell>
          <cell r="C108" t="str">
            <v>ESTX.AXW</v>
          </cell>
          <cell r="D108">
            <v>267</v>
          </cell>
          <cell r="E108">
            <v>9633125.1199999992</v>
          </cell>
          <cell r="F108">
            <v>6222</v>
          </cell>
          <cell r="G108">
            <v>148380</v>
          </cell>
          <cell r="J108" t="str">
            <v>ESTX.AXW</v>
          </cell>
          <cell r="K108" t="str">
            <v>ESTX</v>
          </cell>
          <cell r="L108">
            <v>2</v>
          </cell>
          <cell r="M108">
            <v>65471568.049999997</v>
          </cell>
          <cell r="N108">
            <v>1045037</v>
          </cell>
          <cell r="O108">
            <v>42572</v>
          </cell>
          <cell r="P108" t="str">
            <v>ETF Units</v>
          </cell>
          <cell r="Q108" t="str">
            <v>Exchange Traded Fund Units Fully Paid</v>
          </cell>
          <cell r="R108" t="str">
            <v>ETFS EURO STOXX 50</v>
          </cell>
          <cell r="S108">
            <v>0</v>
          </cell>
          <cell r="T108">
            <v>232.72499999999999</v>
          </cell>
          <cell r="U108">
            <v>6798</v>
          </cell>
          <cell r="V108">
            <v>5989</v>
          </cell>
          <cell r="X108" t="str">
            <v>ESTX.AXW</v>
          </cell>
          <cell r="Y108">
            <v>6353</v>
          </cell>
          <cell r="Z108" t="str">
            <v>ESTX.AXW</v>
          </cell>
          <cell r="AA108">
            <v>6070</v>
          </cell>
          <cell r="AB108" t="str">
            <v>ESTX.AXW</v>
          </cell>
          <cell r="AC108">
            <v>2168</v>
          </cell>
          <cell r="AD108" t="str">
            <v>ESTX.AXW</v>
          </cell>
          <cell r="AE108">
            <v>2239</v>
          </cell>
          <cell r="AF108" t="str">
            <v>ESTX.AXW</v>
          </cell>
          <cell r="AG108">
            <v>6222</v>
          </cell>
        </row>
        <row r="109">
          <cell r="A109" t="str">
            <v>ETF</v>
          </cell>
          <cell r="B109" t="str">
            <v>ETF.AXW</v>
          </cell>
          <cell r="C109" t="str">
            <v>ETF.AXW</v>
          </cell>
          <cell r="D109">
            <v>13</v>
          </cell>
          <cell r="E109">
            <v>276027.32</v>
          </cell>
          <cell r="F109">
            <v>2107</v>
          </cell>
          <cell r="G109">
            <v>13328</v>
          </cell>
          <cell r="J109" t="str">
            <v>ETF.AXW</v>
          </cell>
          <cell r="K109" t="str">
            <v>ETF</v>
          </cell>
          <cell r="L109">
            <v>2</v>
          </cell>
          <cell r="M109">
            <v>8435425.6500000004</v>
          </cell>
          <cell r="N109">
            <v>410483</v>
          </cell>
          <cell r="O109">
            <v>41200</v>
          </cell>
          <cell r="P109" t="str">
            <v>ETF Units</v>
          </cell>
          <cell r="Q109" t="str">
            <v>Exchange Traded Fund Units Fully Paid</v>
          </cell>
          <cell r="R109" t="str">
            <v>UBS Iq Morningstar Australia Quality ETF</v>
          </cell>
          <cell r="S109">
            <v>0</v>
          </cell>
          <cell r="T109">
            <v>64.479299999999995</v>
          </cell>
          <cell r="U109">
            <v>2149</v>
          </cell>
          <cell r="V109">
            <v>1961</v>
          </cell>
          <cell r="X109" t="str">
            <v>ETF.AXW</v>
          </cell>
          <cell r="Y109">
            <v>2030</v>
          </cell>
          <cell r="Z109" t="str">
            <v>ETF.AXW</v>
          </cell>
          <cell r="AA109">
            <v>2038</v>
          </cell>
          <cell r="AB109" t="str">
            <v>ETF.AXW</v>
          </cell>
          <cell r="AC109">
            <v>2014.9999999999998</v>
          </cell>
          <cell r="AD109" t="str">
            <v>ETF.AXW</v>
          </cell>
          <cell r="AE109">
            <v>2021</v>
          </cell>
          <cell r="AF109" t="str">
            <v>ETF.AXW</v>
          </cell>
          <cell r="AG109">
            <v>2107</v>
          </cell>
        </row>
        <row r="110">
          <cell r="A110" t="str">
            <v>ETHI</v>
          </cell>
          <cell r="B110" t="str">
            <v>ETHI.AXW</v>
          </cell>
          <cell r="C110" t="str">
            <v>ETHI.AXW</v>
          </cell>
          <cell r="D110">
            <v>413</v>
          </cell>
          <cell r="E110">
            <v>28061121.789999999</v>
          </cell>
          <cell r="F110">
            <v>773</v>
          </cell>
          <cell r="G110">
            <v>3628739</v>
          </cell>
          <cell r="J110" t="str">
            <v>ETHI.AXW</v>
          </cell>
          <cell r="K110" t="str">
            <v>ETHI</v>
          </cell>
          <cell r="L110">
            <v>2</v>
          </cell>
          <cell r="M110">
            <v>189511941.91999999</v>
          </cell>
          <cell r="N110">
            <v>27205228</v>
          </cell>
          <cell r="O110">
            <v>42744</v>
          </cell>
          <cell r="P110" t="str">
            <v>ETF Units</v>
          </cell>
          <cell r="Q110" t="str">
            <v>Exchange Traded Fund Units Fully Paid</v>
          </cell>
          <cell r="R110" t="str">
            <v>Betashares Global Sustainability Leaders ETF</v>
          </cell>
          <cell r="S110">
            <v>0</v>
          </cell>
          <cell r="T110">
            <v>13.7372</v>
          </cell>
          <cell r="U110">
            <v>797</v>
          </cell>
          <cell r="V110">
            <v>628</v>
          </cell>
          <cell r="X110" t="str">
            <v>ETHI.AXW</v>
          </cell>
          <cell r="Y110">
            <v>757</v>
          </cell>
          <cell r="Z110" t="str">
            <v>ETHI.AXW</v>
          </cell>
          <cell r="AA110">
            <v>645</v>
          </cell>
          <cell r="AB110" t="str">
            <v>ETHI.AXW</v>
          </cell>
          <cell r="AC110">
            <v>1997</v>
          </cell>
          <cell r="AD110" t="str">
            <v>ETHI.AXW</v>
          </cell>
          <cell r="AE110">
            <v>2300</v>
          </cell>
          <cell r="AF110" t="str">
            <v>ETHI.AXW</v>
          </cell>
          <cell r="AG110">
            <v>773</v>
          </cell>
        </row>
        <row r="111">
          <cell r="A111" t="str">
            <v>ETPMAG</v>
          </cell>
          <cell r="B111" t="str">
            <v>ETPMAG.AXW</v>
          </cell>
          <cell r="C111" t="str">
            <v>ETPMAG.AXW</v>
          </cell>
          <cell r="D111">
            <v>207</v>
          </cell>
          <cell r="E111">
            <v>2069546.88</v>
          </cell>
          <cell r="F111">
            <v>2084</v>
          </cell>
          <cell r="G111">
            <v>98049</v>
          </cell>
          <cell r="J111" t="str">
            <v>ETPMAG.AXW</v>
          </cell>
          <cell r="K111" t="str">
            <v>ETPMAG</v>
          </cell>
          <cell r="L111">
            <v>2</v>
          </cell>
          <cell r="M111">
            <v>57677458.950000003</v>
          </cell>
          <cell r="N111">
            <v>2806689</v>
          </cell>
          <cell r="O111">
            <v>39843</v>
          </cell>
          <cell r="P111" t="str">
            <v>ETFS Ag</v>
          </cell>
          <cell r="Q111" t="str">
            <v>ETFS Physical Silver A</v>
          </cell>
          <cell r="R111" t="str">
            <v>ETFS Group</v>
          </cell>
          <cell r="U111">
            <v>2205</v>
          </cell>
          <cell r="V111">
            <v>1932</v>
          </cell>
          <cell r="X111" t="str">
            <v>ETPMAG.AXW</v>
          </cell>
          <cell r="Y111">
            <v>2088</v>
          </cell>
          <cell r="Z111" t="str">
            <v>ETPMAG.AXW</v>
          </cell>
          <cell r="AA111">
            <v>2086</v>
          </cell>
          <cell r="AB111" t="str">
            <v>ETPMAG.AXW</v>
          </cell>
          <cell r="AC111">
            <v>1977</v>
          </cell>
          <cell r="AD111" t="str">
            <v>ETPMAG.AXW</v>
          </cell>
          <cell r="AE111">
            <v>1970</v>
          </cell>
          <cell r="AF111" t="str">
            <v>ETPMAG.AXW</v>
          </cell>
          <cell r="AG111">
            <v>2084</v>
          </cell>
        </row>
        <row r="112">
          <cell r="A112" t="str">
            <v>ETPMPD</v>
          </cell>
          <cell r="B112" t="str">
            <v>ETPMPD.AXW</v>
          </cell>
          <cell r="C112" t="str">
            <v>ETPMPD.AXW</v>
          </cell>
          <cell r="D112">
            <v>7</v>
          </cell>
          <cell r="E112">
            <v>37611.81</v>
          </cell>
          <cell r="F112">
            <v>12454</v>
          </cell>
          <cell r="G112">
            <v>300</v>
          </cell>
          <cell r="J112" t="str">
            <v>ETPMPD.AXW</v>
          </cell>
          <cell r="K112" t="str">
            <v>ETPMPD</v>
          </cell>
          <cell r="L112">
            <v>2</v>
          </cell>
          <cell r="M112">
            <v>1245026.3400000001</v>
          </cell>
          <cell r="N112">
            <v>8993</v>
          </cell>
          <cell r="O112">
            <v>39843</v>
          </cell>
          <cell r="P112" t="str">
            <v>ETFS Pd</v>
          </cell>
          <cell r="Q112" t="str">
            <v>ETFS Physical Palladium A</v>
          </cell>
          <cell r="R112" t="str">
            <v>ETFS Group</v>
          </cell>
          <cell r="U112">
            <v>13300</v>
          </cell>
          <cell r="V112">
            <v>10570</v>
          </cell>
          <cell r="X112" t="str">
            <v>ETPMPD.AXW</v>
          </cell>
          <cell r="Y112">
            <v>12550</v>
          </cell>
          <cell r="Z112" t="str">
            <v>ETPMPD.AXW</v>
          </cell>
          <cell r="AA112">
            <v>10872</v>
          </cell>
          <cell r="AB112" t="str">
            <v>ETPMPD.AXW</v>
          </cell>
          <cell r="AC112">
            <v>9774</v>
          </cell>
          <cell r="AD112" t="str">
            <v>ETPMPD.AXW</v>
          </cell>
          <cell r="AE112">
            <v>6820</v>
          </cell>
          <cell r="AF112" t="str">
            <v>ETPMPD.AXW</v>
          </cell>
          <cell r="AG112">
            <v>12454</v>
          </cell>
        </row>
        <row r="113">
          <cell r="A113" t="str">
            <v>ETPMPM</v>
          </cell>
          <cell r="B113" t="str">
            <v>ETPMPM.AXW</v>
          </cell>
          <cell r="C113" t="str">
            <v>ETPMPM.AXW</v>
          </cell>
          <cell r="D113">
            <v>7</v>
          </cell>
          <cell r="E113">
            <v>34894.53</v>
          </cell>
          <cell r="F113">
            <v>12536</v>
          </cell>
          <cell r="G113">
            <v>275</v>
          </cell>
          <cell r="J113" t="str">
            <v>ETPMPM.AXW</v>
          </cell>
          <cell r="K113" t="str">
            <v>ETPMPM</v>
          </cell>
          <cell r="L113">
            <v>2</v>
          </cell>
          <cell r="M113">
            <v>5015778.96</v>
          </cell>
          <cell r="N113">
            <v>40011</v>
          </cell>
          <cell r="O113">
            <v>39843</v>
          </cell>
          <cell r="P113" t="str">
            <v>ETFS Pm</v>
          </cell>
          <cell r="Q113" t="str">
            <v>ETFS Physical Pm Basket A</v>
          </cell>
          <cell r="R113" t="str">
            <v>ETFS Group</v>
          </cell>
          <cell r="U113">
            <v>12900</v>
          </cell>
          <cell r="V113">
            <v>11580</v>
          </cell>
          <cell r="X113" t="str">
            <v>ETPMPM.AXW</v>
          </cell>
          <cell r="Y113">
            <v>12793</v>
          </cell>
          <cell r="Z113" t="str">
            <v>ETPMPM.AXW</v>
          </cell>
          <cell r="AA113">
            <v>12205</v>
          </cell>
          <cell r="AB113" t="str">
            <v>ETPMPM.AXW</v>
          </cell>
          <cell r="AC113">
            <v>11519</v>
          </cell>
          <cell r="AD113" t="str">
            <v>ETPMPM.AXW</v>
          </cell>
          <cell r="AE113">
            <v>10800</v>
          </cell>
          <cell r="AF113" t="str">
            <v>ETPMPM.AXW</v>
          </cell>
          <cell r="AG113">
            <v>12536</v>
          </cell>
        </row>
        <row r="114">
          <cell r="A114" t="str">
            <v>ETPMPT</v>
          </cell>
          <cell r="B114" t="str">
            <v>ETPMPT.AXW</v>
          </cell>
          <cell r="C114" t="str">
            <v>ETPMPT.AXW</v>
          </cell>
          <cell r="D114">
            <v>79</v>
          </cell>
          <cell r="E114">
            <v>145376.23000000001</v>
          </cell>
          <cell r="F114">
            <v>11053</v>
          </cell>
          <cell r="G114">
            <v>1302</v>
          </cell>
          <cell r="J114" t="str">
            <v>ETPMPT.AXW</v>
          </cell>
          <cell r="K114" t="str">
            <v>ETPMPT</v>
          </cell>
          <cell r="L114">
            <v>2</v>
          </cell>
          <cell r="M114">
            <v>2789295.6</v>
          </cell>
          <cell r="N114">
            <v>10280</v>
          </cell>
          <cell r="O114">
            <v>39843</v>
          </cell>
          <cell r="P114" t="str">
            <v>ETFS Pt</v>
          </cell>
          <cell r="Q114" t="str">
            <v>ETFS Physical Platinum A</v>
          </cell>
          <cell r="R114" t="str">
            <v>ETFS Group</v>
          </cell>
          <cell r="U114">
            <v>12163</v>
          </cell>
          <cell r="V114">
            <v>10660</v>
          </cell>
          <cell r="X114" t="str">
            <v>ETPMPT.AXW</v>
          </cell>
          <cell r="Y114">
            <v>11465</v>
          </cell>
          <cell r="Z114" t="str">
            <v>ETPMPT.AXW</v>
          </cell>
          <cell r="AA114">
            <v>11650</v>
          </cell>
          <cell r="AB114" t="str">
            <v>ETPMPT.AXW</v>
          </cell>
          <cell r="AC114">
            <v>13405.000000000002</v>
          </cell>
          <cell r="AD114" t="str">
            <v>ETPMPT.AXW</v>
          </cell>
          <cell r="AE114">
            <v>13896</v>
          </cell>
          <cell r="AF114" t="str">
            <v>ETPMPT.AXW</v>
          </cell>
          <cell r="AG114">
            <v>11053</v>
          </cell>
        </row>
        <row r="115">
          <cell r="A115" t="str">
            <v>EX20</v>
          </cell>
          <cell r="B115" t="str">
            <v>EX20.AXW</v>
          </cell>
          <cell r="C115" t="str">
            <v>EX20.AXW</v>
          </cell>
          <cell r="D115">
            <v>186</v>
          </cell>
          <cell r="E115">
            <v>4504533.71</v>
          </cell>
          <cell r="F115">
            <v>1829</v>
          </cell>
          <cell r="G115">
            <v>248663</v>
          </cell>
          <cell r="J115" t="str">
            <v>EX20.AXW</v>
          </cell>
          <cell r="K115" t="str">
            <v>EX20</v>
          </cell>
          <cell r="L115">
            <v>2</v>
          </cell>
          <cell r="M115">
            <v>31738853.140000001</v>
          </cell>
          <cell r="N115">
            <v>2001297</v>
          </cell>
          <cell r="O115">
            <v>42650</v>
          </cell>
          <cell r="P115" t="str">
            <v>ETF Units</v>
          </cell>
          <cell r="Q115" t="str">
            <v>Exchange Traded Fund Units Fully Paid</v>
          </cell>
          <cell r="R115" t="str">
            <v>Betashares Australian Ex-20 Portfolio Diversifier ETF</v>
          </cell>
          <cell r="S115">
            <v>0</v>
          </cell>
          <cell r="T115">
            <v>78.029200000000003</v>
          </cell>
          <cell r="U115">
            <v>1850</v>
          </cell>
          <cell r="V115">
            <v>1550</v>
          </cell>
          <cell r="X115" t="str">
            <v>EX20.AXW</v>
          </cell>
          <cell r="Y115">
            <v>1770</v>
          </cell>
          <cell r="Z115" t="str">
            <v>EX20.AXW</v>
          </cell>
          <cell r="AA115">
            <v>1611</v>
          </cell>
          <cell r="AB115" t="str">
            <v>EX20.AXW</v>
          </cell>
          <cell r="AC115">
            <v>43.5</v>
          </cell>
          <cell r="AD115" t="str">
            <v>EX20.AXW</v>
          </cell>
          <cell r="AE115">
            <v>32</v>
          </cell>
          <cell r="AF115" t="str">
            <v>EX20.AXW</v>
          </cell>
          <cell r="AG115">
            <v>1829</v>
          </cell>
        </row>
        <row r="116">
          <cell r="A116" t="str">
            <v>EWC</v>
          </cell>
          <cell r="B116" t="str">
            <v>EWC.ASX</v>
          </cell>
          <cell r="C116" t="str">
            <v>EWC.ASX</v>
          </cell>
          <cell r="D116">
            <v>2802</v>
          </cell>
          <cell r="E116">
            <v>3507470.4075000002</v>
          </cell>
          <cell r="F116">
            <v>17</v>
          </cell>
          <cell r="G116">
            <v>18968458</v>
          </cell>
          <cell r="J116" t="str">
            <v>EWC.ASX</v>
          </cell>
          <cell r="K116" t="str">
            <v>EWC</v>
          </cell>
          <cell r="L116">
            <v>2</v>
          </cell>
          <cell r="M116">
            <v>314235542.60000002</v>
          </cell>
          <cell r="N116">
            <v>1795631672</v>
          </cell>
          <cell r="O116">
            <v>32485</v>
          </cell>
          <cell r="P116" t="str">
            <v>Fpo</v>
          </cell>
          <cell r="Q116" t="str">
            <v>Ordinary Fully Paid</v>
          </cell>
          <cell r="R116" t="str">
            <v>Energy World Corporation Ltd</v>
          </cell>
          <cell r="S116">
            <v>44</v>
          </cell>
          <cell r="T116">
            <v>0</v>
          </cell>
          <cell r="U116">
            <v>48</v>
          </cell>
          <cell r="V116">
            <v>16</v>
          </cell>
          <cell r="X116" t="str">
            <v>EWC.ASX</v>
          </cell>
          <cell r="Y116">
            <v>21</v>
          </cell>
          <cell r="Z116" t="str">
            <v>EWC.ASX</v>
          </cell>
          <cell r="AA116">
            <v>38</v>
          </cell>
          <cell r="AB116" t="str">
            <v>EWC.ASX</v>
          </cell>
          <cell r="AC116">
            <v>36.5</v>
          </cell>
          <cell r="AD116" t="str">
            <v>EWC.ASX</v>
          </cell>
          <cell r="AE116">
            <v>39</v>
          </cell>
          <cell r="AF116" t="str">
            <v>EWC.ASX</v>
          </cell>
          <cell r="AG116">
            <v>17</v>
          </cell>
        </row>
        <row r="117">
          <cell r="A117" t="str">
            <v>VCX</v>
          </cell>
          <cell r="B117" t="str">
            <v>VCX.ASX</v>
          </cell>
          <cell r="C117" t="str">
            <v>VCX.ASX</v>
          </cell>
          <cell r="D117">
            <v>80017</v>
          </cell>
          <cell r="E117">
            <v>732928599.75619996</v>
          </cell>
          <cell r="F117">
            <v>259</v>
          </cell>
          <cell r="G117">
            <v>274294802</v>
          </cell>
          <cell r="J117" t="str">
            <v>VCX.ASX</v>
          </cell>
          <cell r="K117" t="str">
            <v>VCX</v>
          </cell>
          <cell r="L117">
            <v>2</v>
          </cell>
          <cell r="M117">
            <v>8419200931.3999996</v>
          </cell>
          <cell r="N117">
            <v>3871608967</v>
          </cell>
          <cell r="O117">
            <v>40882</v>
          </cell>
          <cell r="P117" t="str">
            <v>Stapled</v>
          </cell>
          <cell r="Q117" t="str">
            <v>Ordinary/Units Fully Paid Stapled Securities</v>
          </cell>
          <cell r="R117" t="str">
            <v>Vicinity Centres</v>
          </cell>
          <cell r="S117">
            <v>293</v>
          </cell>
          <cell r="T117">
            <v>16.299999999999997</v>
          </cell>
          <cell r="U117">
            <v>292</v>
          </cell>
          <cell r="V117">
            <v>236</v>
          </cell>
          <cell r="X117" t="str">
            <v>VCX.ASX</v>
          </cell>
          <cell r="Y117">
            <v>270</v>
          </cell>
          <cell r="Z117" t="str">
            <v>VCX.ASX</v>
          </cell>
          <cell r="AA117">
            <v>257</v>
          </cell>
          <cell r="AB117" t="str">
            <v>VCX.ASX</v>
          </cell>
          <cell r="AC117">
            <v>292</v>
          </cell>
          <cell r="AD117" t="str">
            <v>VCX.ASX</v>
          </cell>
          <cell r="AE117">
            <v>237</v>
          </cell>
          <cell r="AF117" t="str">
            <v>VCX.ASX</v>
          </cell>
          <cell r="AG117">
            <v>259</v>
          </cell>
        </row>
        <row r="118">
          <cell r="A118" t="str">
            <v>FDIV</v>
          </cell>
          <cell r="B118" t="str">
            <v>FDIV.AXW</v>
          </cell>
          <cell r="C118" t="str">
            <v>FDIV.AXW</v>
          </cell>
          <cell r="D118">
            <v>9</v>
          </cell>
          <cell r="E118">
            <v>190992.25</v>
          </cell>
          <cell r="F118">
            <v>2406</v>
          </cell>
          <cell r="G118">
            <v>8046</v>
          </cell>
          <cell r="J118" t="str">
            <v>FDIV.AXW</v>
          </cell>
          <cell r="K118" t="str">
            <v>FDIV</v>
          </cell>
          <cell r="L118">
            <v>2</v>
          </cell>
          <cell r="M118">
            <v>3887205.78</v>
          </cell>
          <cell r="N118">
            <v>161563</v>
          </cell>
          <cell r="O118">
            <v>42492</v>
          </cell>
          <cell r="P118" t="str">
            <v>ETF Units</v>
          </cell>
          <cell r="Q118" t="str">
            <v>Exchange Traded Fund Units Fully Paid</v>
          </cell>
          <cell r="R118" t="str">
            <v>VANECK VECTORS S&amp;P/ASX FRANKED DIV ETF</v>
          </cell>
          <cell r="S118">
            <v>0</v>
          </cell>
          <cell r="T118">
            <v>113.88999999999999</v>
          </cell>
          <cell r="U118">
            <v>2456</v>
          </cell>
          <cell r="V118">
            <v>2246</v>
          </cell>
          <cell r="X118" t="str">
            <v>FDIV.AXW</v>
          </cell>
          <cell r="Y118">
            <v>2324</v>
          </cell>
          <cell r="Z118" t="str">
            <v>FDIV.AXW</v>
          </cell>
          <cell r="AA118">
            <v>2329</v>
          </cell>
          <cell r="AB118" t="str">
            <v>FDIV.AXW</v>
          </cell>
          <cell r="AC118">
            <v>220.00000000000003</v>
          </cell>
          <cell r="AD118" t="str">
            <v>FDIV.AXW</v>
          </cell>
          <cell r="AE118">
            <v>150.12375035881996</v>
          </cell>
          <cell r="AF118" t="str">
            <v>FDIV.AXW</v>
          </cell>
          <cell r="AG118">
            <v>2406</v>
          </cell>
        </row>
        <row r="119">
          <cell r="A119" t="str">
            <v>FET</v>
          </cell>
          <cell r="B119" t="str">
            <v>FET.ASX</v>
          </cell>
          <cell r="C119" t="str">
            <v>FET.ASX</v>
          </cell>
          <cell r="D119">
            <v>29362</v>
          </cell>
          <cell r="E119">
            <v>31398124.314399999</v>
          </cell>
          <cell r="F119">
            <v>269</v>
          </cell>
          <cell r="G119">
            <v>11659754</v>
          </cell>
          <cell r="J119" t="str">
            <v>FET.ASX</v>
          </cell>
          <cell r="K119" t="str">
            <v>FET</v>
          </cell>
          <cell r="L119">
            <v>2</v>
          </cell>
          <cell r="M119">
            <v>621686688</v>
          </cell>
          <cell r="N119">
            <v>255753736</v>
          </cell>
          <cell r="O119">
            <v>37763</v>
          </cell>
          <cell r="P119" t="str">
            <v>Unit</v>
          </cell>
          <cell r="Q119" t="str">
            <v>Units Fully Paid</v>
          </cell>
          <cell r="R119" t="str">
            <v>Folkestone Education Trust</v>
          </cell>
          <cell r="S119">
            <v>267</v>
          </cell>
          <cell r="T119">
            <v>15.1</v>
          </cell>
          <cell r="U119">
            <v>300</v>
          </cell>
          <cell r="V119">
            <v>250</v>
          </cell>
          <cell r="X119" t="str">
            <v>FET.ASX</v>
          </cell>
          <cell r="Y119">
            <v>266</v>
          </cell>
          <cell r="Z119" t="str">
            <v>FET.ASX</v>
          </cell>
          <cell r="AA119">
            <v>279</v>
          </cell>
          <cell r="AB119" t="str">
            <v>FET.ASX</v>
          </cell>
          <cell r="AC119">
            <v>210</v>
          </cell>
          <cell r="AD119" t="str">
            <v>FET.ASX</v>
          </cell>
          <cell r="AE119">
            <v>138.65250033140182</v>
          </cell>
          <cell r="AF119" t="str">
            <v>FET.ASX</v>
          </cell>
          <cell r="AG119">
            <v>269</v>
          </cell>
        </row>
        <row r="120">
          <cell r="A120" t="str">
            <v>FGG</v>
          </cell>
          <cell r="B120" t="str">
            <v>FGG.ASX</v>
          </cell>
          <cell r="C120" t="str">
            <v>FGG.ASX</v>
          </cell>
          <cell r="D120">
            <v>711</v>
          </cell>
          <cell r="E120">
            <v>5107353.9050000003</v>
          </cell>
          <cell r="F120">
            <v>136</v>
          </cell>
          <cell r="G120">
            <v>3830699</v>
          </cell>
          <cell r="J120" t="str">
            <v>FGG.ASX</v>
          </cell>
          <cell r="K120" t="str">
            <v>FGG</v>
          </cell>
          <cell r="L120">
            <v>2</v>
          </cell>
          <cell r="M120">
            <v>399751713</v>
          </cell>
          <cell r="N120">
            <v>296112380</v>
          </cell>
          <cell r="O120">
            <v>42257</v>
          </cell>
          <cell r="P120" t="str">
            <v>Fpo</v>
          </cell>
          <cell r="Q120" t="str">
            <v>Ordinary Fully Paid</v>
          </cell>
          <cell r="R120" t="str">
            <v>Future Generation Global Investment Company Limited</v>
          </cell>
          <cell r="S120">
            <v>124</v>
          </cell>
          <cell r="T120">
            <v>1</v>
          </cell>
          <cell r="U120">
            <v>139</v>
          </cell>
          <cell r="V120">
            <v>108</v>
          </cell>
          <cell r="X120" t="str">
            <v>FGG.ASX</v>
          </cell>
          <cell r="Y120">
            <v>131</v>
          </cell>
          <cell r="Z120" t="str">
            <v>FGG.ASX</v>
          </cell>
          <cell r="AA120">
            <v>108</v>
          </cell>
          <cell r="AB120" t="str">
            <v>FGG.ASX</v>
          </cell>
          <cell r="AC120">
            <v>113.99999999999999</v>
          </cell>
          <cell r="AD120" t="str">
            <v>FGG.ASX</v>
          </cell>
          <cell r="AE120">
            <v>8.7015417820191647</v>
          </cell>
          <cell r="AF120" t="str">
            <v>FGG.ASX</v>
          </cell>
          <cell r="AG120">
            <v>136</v>
          </cell>
        </row>
        <row r="121">
          <cell r="A121" t="str">
            <v>FGX</v>
          </cell>
          <cell r="B121" t="str">
            <v>FGX.ASX</v>
          </cell>
          <cell r="C121" t="str">
            <v>FGX.ASX</v>
          </cell>
          <cell r="D121">
            <v>670</v>
          </cell>
          <cell r="E121">
            <v>5327625.4400000004</v>
          </cell>
          <cell r="F121">
            <v>125.49999999999999</v>
          </cell>
          <cell r="G121">
            <v>4275692</v>
          </cell>
          <cell r="J121" t="str">
            <v>FGX.ASX</v>
          </cell>
          <cell r="K121" t="str">
            <v>FGX</v>
          </cell>
          <cell r="L121">
            <v>2</v>
          </cell>
          <cell r="M121">
            <v>437432613.76499999</v>
          </cell>
          <cell r="N121">
            <v>351351497</v>
          </cell>
          <cell r="O121">
            <v>35495</v>
          </cell>
          <cell r="P121" t="str">
            <v>Fpo</v>
          </cell>
          <cell r="Q121" t="str">
            <v>Ordinary Fully Paid</v>
          </cell>
          <cell r="R121" t="str">
            <v>Future Generation Investment Company Limited</v>
          </cell>
          <cell r="S121">
            <v>1</v>
          </cell>
          <cell r="T121">
            <v>4.4000000000000004</v>
          </cell>
          <cell r="U121">
            <v>126.5</v>
          </cell>
          <cell r="V121">
            <v>108.5</v>
          </cell>
          <cell r="X121" t="str">
            <v>FGX.ASX</v>
          </cell>
          <cell r="Y121">
            <v>124</v>
          </cell>
          <cell r="Z121" t="str">
            <v>FGX.ASX</v>
          </cell>
          <cell r="AA121">
            <v>109.5</v>
          </cell>
          <cell r="AB121" t="str">
            <v>FGX.ASX</v>
          </cell>
          <cell r="AC121">
            <v>112.5</v>
          </cell>
          <cell r="AD121" t="str">
            <v>FGX.ASX</v>
          </cell>
          <cell r="AE121">
            <v>98.0584011077881</v>
          </cell>
          <cell r="AF121" t="str">
            <v>FGX.ASX</v>
          </cell>
          <cell r="AG121">
            <v>125.49999999999999</v>
          </cell>
        </row>
        <row r="122">
          <cell r="A122" t="str">
            <v>FLOT</v>
          </cell>
          <cell r="B122" t="str">
            <v>FLOT.AXW</v>
          </cell>
          <cell r="C122" t="str">
            <v>FLOT.AXW</v>
          </cell>
          <cell r="D122">
            <v>252</v>
          </cell>
          <cell r="E122">
            <v>8974486.2949999999</v>
          </cell>
          <cell r="F122">
            <v>2508</v>
          </cell>
          <cell r="G122">
            <v>358199</v>
          </cell>
          <cell r="J122" t="str">
            <v>FLOT.AXW</v>
          </cell>
          <cell r="K122" t="str">
            <v>FLOT</v>
          </cell>
          <cell r="L122">
            <v>2</v>
          </cell>
          <cell r="M122">
            <v>81169264.5</v>
          </cell>
          <cell r="N122">
            <v>3400357</v>
          </cell>
          <cell r="O122">
            <v>42923</v>
          </cell>
          <cell r="P122" t="str">
            <v>ETF Units</v>
          </cell>
          <cell r="Q122" t="str">
            <v>Exchange Traded Fund Units Fully Paid</v>
          </cell>
          <cell r="R122" t="str">
            <v>Vaneck Vectors Australian Floating Rate ETF</v>
          </cell>
          <cell r="S122">
            <v>0</v>
          </cell>
          <cell r="T122">
            <v>60.5</v>
          </cell>
          <cell r="U122">
            <v>2523</v>
          </cell>
          <cell r="V122">
            <v>2500</v>
          </cell>
          <cell r="X122" t="str">
            <v>FLOT.AXW</v>
          </cell>
          <cell r="Y122">
            <v>2508</v>
          </cell>
          <cell r="Z122" t="str">
            <v>FLOT.AXW</v>
          </cell>
          <cell r="AA122">
            <v>561</v>
          </cell>
          <cell r="AB122" t="str">
            <v>FLOT.AXW</v>
          </cell>
          <cell r="AC122">
            <v>199</v>
          </cell>
          <cell r="AD122" t="str">
            <v>FLOT.AXW</v>
          </cell>
          <cell r="AE122">
            <v>128.17875030636787</v>
          </cell>
          <cell r="AF122" t="str">
            <v>FLOT.AXW</v>
          </cell>
          <cell r="AG122">
            <v>2508</v>
          </cell>
        </row>
        <row r="123">
          <cell r="A123" t="str">
            <v>FOOD</v>
          </cell>
          <cell r="B123" t="str">
            <v>FOOD.AXW</v>
          </cell>
          <cell r="C123" t="str">
            <v>FOOD.AXW</v>
          </cell>
          <cell r="D123">
            <v>85</v>
          </cell>
          <cell r="E123">
            <v>1346800.2700000003</v>
          </cell>
          <cell r="F123">
            <v>579</v>
          </cell>
          <cell r="G123">
            <v>229624</v>
          </cell>
          <cell r="J123" t="str">
            <v>FOOD.AXW</v>
          </cell>
          <cell r="K123" t="str">
            <v>FOOD</v>
          </cell>
          <cell r="L123">
            <v>2</v>
          </cell>
          <cell r="M123">
            <v>16634049.439999999</v>
          </cell>
          <cell r="N123">
            <v>3002536</v>
          </cell>
          <cell r="O123">
            <v>42586</v>
          </cell>
          <cell r="P123" t="str">
            <v>ETF Units</v>
          </cell>
          <cell r="Q123" t="str">
            <v>Exchange Traded Fund Units Fully Paid</v>
          </cell>
          <cell r="R123" t="str">
            <v>Betashares Global Agriculture ETF</v>
          </cell>
          <cell r="S123">
            <v>0</v>
          </cell>
          <cell r="T123">
            <v>19.343700000000002</v>
          </cell>
          <cell r="U123">
            <v>639</v>
          </cell>
          <cell r="V123">
            <v>554</v>
          </cell>
          <cell r="X123" t="str">
            <v>FOOD.AXW</v>
          </cell>
          <cell r="Y123">
            <v>589</v>
          </cell>
          <cell r="Z123" t="str">
            <v>FOOD.AXW</v>
          </cell>
          <cell r="AA123">
            <v>554</v>
          </cell>
          <cell r="AB123" t="str">
            <v>FOOD.AXW</v>
          </cell>
          <cell r="AD123" t="str">
            <v>FOOD.AXW</v>
          </cell>
          <cell r="AF123" t="str">
            <v>FOOD.AXW</v>
          </cell>
          <cell r="AG123">
            <v>579</v>
          </cell>
        </row>
        <row r="124">
          <cell r="A124" t="str">
            <v>FOR</v>
          </cell>
          <cell r="B124" t="str">
            <v>FOR.ASX</v>
          </cell>
          <cell r="C124" t="str">
            <v>FOR.ASX</v>
          </cell>
          <cell r="D124">
            <v>293</v>
          </cell>
          <cell r="E124">
            <v>2277362.3200000003</v>
          </cell>
          <cell r="F124">
            <v>192</v>
          </cell>
          <cell r="G124">
            <v>1106220</v>
          </cell>
          <cell r="J124" t="str">
            <v>FOR.ASX</v>
          </cell>
          <cell r="K124" t="str">
            <v>FOR</v>
          </cell>
          <cell r="L124">
            <v>2</v>
          </cell>
          <cell r="M124">
            <v>173713974.38999999</v>
          </cell>
          <cell r="N124">
            <v>91188438</v>
          </cell>
          <cell r="O124">
            <v>42720</v>
          </cell>
          <cell r="P124" t="str">
            <v>Units</v>
          </cell>
          <cell r="Q124" t="str">
            <v>Ordinary Units Fully Paid</v>
          </cell>
          <cell r="R124" t="str">
            <v>Forager Australian Shares Fund</v>
          </cell>
          <cell r="S124">
            <v>188</v>
          </cell>
          <cell r="T124">
            <v>21.4513</v>
          </cell>
          <cell r="U124">
            <v>214</v>
          </cell>
          <cell r="V124">
            <v>184</v>
          </cell>
          <cell r="X124" t="str">
            <v>FOR.ASX</v>
          </cell>
          <cell r="Y124">
            <v>200.99999999999997</v>
          </cell>
          <cell r="Z124" t="str">
            <v>FOR.ASX</v>
          </cell>
          <cell r="AA124">
            <v>200</v>
          </cell>
          <cell r="AB124" t="str">
            <v>FOR.ASX</v>
          </cell>
          <cell r="AC124">
            <v>104.5</v>
          </cell>
          <cell r="AD124" t="str">
            <v>FOR.ASX</v>
          </cell>
          <cell r="AE124">
            <v>8.5910460133586035</v>
          </cell>
          <cell r="AF124" t="str">
            <v>FOR.ASX</v>
          </cell>
          <cell r="AG124">
            <v>192</v>
          </cell>
        </row>
        <row r="125">
          <cell r="A125" t="str">
            <v>FPC</v>
          </cell>
          <cell r="B125" t="str">
            <v>FPC.ASX</v>
          </cell>
          <cell r="C125" t="str">
            <v>FPC.ASX</v>
          </cell>
          <cell r="D125">
            <v>155</v>
          </cell>
          <cell r="E125">
            <v>1110122.8850000002</v>
          </cell>
          <cell r="F125">
            <v>93</v>
          </cell>
          <cell r="G125">
            <v>1142610</v>
          </cell>
          <cell r="J125" t="str">
            <v>FPC.ASX</v>
          </cell>
          <cell r="K125" t="str">
            <v>FPC</v>
          </cell>
          <cell r="L125">
            <v>2</v>
          </cell>
          <cell r="M125">
            <v>41578071.975000001</v>
          </cell>
          <cell r="N125">
            <v>44949267</v>
          </cell>
          <cell r="O125">
            <v>42816</v>
          </cell>
          <cell r="P125" t="str">
            <v>Fpo</v>
          </cell>
          <cell r="Q125" t="str">
            <v>Ordinary Fully Paid</v>
          </cell>
          <cell r="R125" t="str">
            <v>Fat Prophets Global Contrarian Fund Ltd</v>
          </cell>
          <cell r="S125">
            <v>115</v>
          </cell>
          <cell r="U125">
            <v>125</v>
          </cell>
          <cell r="V125">
            <v>92.5</v>
          </cell>
          <cell r="X125" t="str">
            <v>FPC.ASX</v>
          </cell>
          <cell r="Y125">
            <v>99</v>
          </cell>
          <cell r="Z125" t="str">
            <v>FPC.ASX</v>
          </cell>
          <cell r="AA125">
            <v>114.99999999999999</v>
          </cell>
          <cell r="AB125" t="str">
            <v>FPC.ASX</v>
          </cell>
          <cell r="AC125">
            <v>150</v>
          </cell>
          <cell r="AD125" t="str">
            <v>FPC.ASX</v>
          </cell>
          <cell r="AE125">
            <v>134.60849940776825</v>
          </cell>
          <cell r="AF125" t="str">
            <v>FPC.ASX</v>
          </cell>
          <cell r="AG125">
            <v>93</v>
          </cell>
        </row>
        <row r="126">
          <cell r="A126" t="str">
            <v>FSI</v>
          </cell>
          <cell r="B126" t="str">
            <v>FSI.ASX</v>
          </cell>
          <cell r="C126" t="str">
            <v>FSI.ASX</v>
          </cell>
          <cell r="D126">
            <v>65</v>
          </cell>
          <cell r="E126">
            <v>390123.75499999995</v>
          </cell>
          <cell r="F126">
            <v>166</v>
          </cell>
          <cell r="G126">
            <v>233704</v>
          </cell>
          <cell r="J126" t="str">
            <v>FSI.ASX</v>
          </cell>
          <cell r="K126" t="str">
            <v>FSI</v>
          </cell>
          <cell r="L126">
            <v>2</v>
          </cell>
          <cell r="M126">
            <v>42844596.479999997</v>
          </cell>
          <cell r="N126">
            <v>25502736</v>
          </cell>
          <cell r="O126">
            <v>36880</v>
          </cell>
          <cell r="P126" t="str">
            <v>Fpo</v>
          </cell>
          <cell r="Q126" t="str">
            <v>Ordinary Fully Paid</v>
          </cell>
          <cell r="R126" t="str">
            <v>Flagship Investments Limited</v>
          </cell>
          <cell r="S126">
            <v>184</v>
          </cell>
          <cell r="T126">
            <v>7.5</v>
          </cell>
          <cell r="U126">
            <v>173.5</v>
          </cell>
          <cell r="V126">
            <v>152</v>
          </cell>
          <cell r="X126" t="str">
            <v>FSI.ASX</v>
          </cell>
          <cell r="Y126">
            <v>160</v>
          </cell>
          <cell r="Z126" t="str">
            <v>FSI.ASX</v>
          </cell>
          <cell r="AA126">
            <v>154.5</v>
          </cell>
          <cell r="AB126" t="str">
            <v>FSI.ASX</v>
          </cell>
          <cell r="AC126">
            <v>137</v>
          </cell>
          <cell r="AD126" t="str">
            <v>FSI.ASX</v>
          </cell>
          <cell r="AE126">
            <v>131.11864942312241</v>
          </cell>
          <cell r="AF126" t="str">
            <v>FSI.ASX</v>
          </cell>
          <cell r="AG126">
            <v>166</v>
          </cell>
        </row>
        <row r="127">
          <cell r="A127" t="str">
            <v>FUEL</v>
          </cell>
          <cell r="B127" t="str">
            <v>FUEL.AXW</v>
          </cell>
          <cell r="C127" t="str">
            <v>FUEL.AXW</v>
          </cell>
          <cell r="D127">
            <v>253</v>
          </cell>
          <cell r="E127">
            <v>3594123.2399999998</v>
          </cell>
          <cell r="F127">
            <v>660</v>
          </cell>
          <cell r="G127">
            <v>554141</v>
          </cell>
          <cell r="J127" t="str">
            <v>FUEL.AXW</v>
          </cell>
          <cell r="K127" t="str">
            <v>FUEL</v>
          </cell>
          <cell r="L127">
            <v>2</v>
          </cell>
          <cell r="M127">
            <v>28297471.93</v>
          </cell>
          <cell r="N127">
            <v>4400851</v>
          </cell>
          <cell r="O127">
            <v>42541</v>
          </cell>
          <cell r="P127" t="str">
            <v>ETF Units</v>
          </cell>
          <cell r="Q127" t="str">
            <v>Exchange Traded Fund Units Fully Paid</v>
          </cell>
          <cell r="R127" t="str">
            <v>Betashares Global Energy Companies ETF</v>
          </cell>
          <cell r="S127">
            <v>0</v>
          </cell>
          <cell r="T127">
            <v>14.363700000000001</v>
          </cell>
          <cell r="U127">
            <v>686</v>
          </cell>
          <cell r="V127">
            <v>516</v>
          </cell>
          <cell r="X127" t="str">
            <v>FUEL.AXW</v>
          </cell>
          <cell r="Y127">
            <v>639</v>
          </cell>
          <cell r="Z127" t="str">
            <v>FUEL.AXW</v>
          </cell>
          <cell r="AA127">
            <v>543</v>
          </cell>
          <cell r="AB127" t="str">
            <v>FUEL.AXW</v>
          </cell>
          <cell r="AD127" t="str">
            <v>FUEL.AXW</v>
          </cell>
          <cell r="AF127" t="str">
            <v>FUEL.AXW</v>
          </cell>
          <cell r="AG127">
            <v>660</v>
          </cell>
        </row>
        <row r="128">
          <cell r="A128" t="str">
            <v>GCI</v>
          </cell>
          <cell r="B128" t="str">
            <v>GCI.ASX</v>
          </cell>
          <cell r="C128" t="str">
            <v>GCI.ASX</v>
          </cell>
          <cell r="D128">
            <v>258</v>
          </cell>
          <cell r="E128">
            <v>4478202.38</v>
          </cell>
          <cell r="F128">
            <v>200</v>
          </cell>
          <cell r="G128">
            <v>2233828</v>
          </cell>
          <cell r="J128" t="str">
            <v>GCI.ASX</v>
          </cell>
          <cell r="K128" t="str">
            <v>GCI</v>
          </cell>
          <cell r="L128">
            <v>2</v>
          </cell>
          <cell r="M128">
            <v>175300000</v>
          </cell>
          <cell r="N128">
            <v>87650000</v>
          </cell>
          <cell r="O128">
            <v>43245</v>
          </cell>
          <cell r="P128" t="str">
            <v>Units</v>
          </cell>
          <cell r="Q128" t="str">
            <v>Ordinary Units Fully Paid</v>
          </cell>
          <cell r="R128" t="str">
            <v>Gryphon Capital Income Trust</v>
          </cell>
          <cell r="S128">
            <v>0</v>
          </cell>
          <cell r="T128">
            <v>0.46</v>
          </cell>
          <cell r="U128">
            <v>202</v>
          </cell>
          <cell r="V128">
            <v>198</v>
          </cell>
          <cell r="X128" t="str">
            <v>GCI.ASX</v>
          </cell>
          <cell r="Y128">
            <v>200</v>
          </cell>
          <cell r="Z128" t="str">
            <v>GCI.ASX</v>
          </cell>
          <cell r="AB128" t="str">
            <v>GCI.ASX</v>
          </cell>
          <cell r="AD128" t="str">
            <v>GCI.ASX</v>
          </cell>
          <cell r="AF128" t="str">
            <v>GCI.ASX</v>
          </cell>
          <cell r="AG128">
            <v>200</v>
          </cell>
        </row>
        <row r="129">
          <cell r="A129" t="str">
            <v>GC1</v>
          </cell>
          <cell r="B129" t="str">
            <v>GC1.ASX</v>
          </cell>
          <cell r="C129" t="str">
            <v>GC1.ASX</v>
          </cell>
          <cell r="D129">
            <v>319</v>
          </cell>
          <cell r="E129">
            <v>990255.50000000012</v>
          </cell>
          <cell r="F129">
            <v>100</v>
          </cell>
          <cell r="G129">
            <v>1004297</v>
          </cell>
          <cell r="J129" t="str">
            <v>GC1.ASX</v>
          </cell>
          <cell r="K129" t="str">
            <v>GC1</v>
          </cell>
          <cell r="L129">
            <v>2</v>
          </cell>
          <cell r="M129">
            <v>46875705.765000001</v>
          </cell>
          <cell r="N129">
            <v>47589549</v>
          </cell>
          <cell r="O129">
            <v>42237</v>
          </cell>
          <cell r="P129" t="str">
            <v>Fpo</v>
          </cell>
          <cell r="Q129" t="str">
            <v>Ordinary Fully Paid</v>
          </cell>
          <cell r="R129" t="str">
            <v>Glennon Small Companies Limited</v>
          </cell>
          <cell r="S129">
            <v>112</v>
          </cell>
          <cell r="T129">
            <v>4</v>
          </cell>
          <cell r="U129">
            <v>103</v>
          </cell>
          <cell r="V129">
            <v>86</v>
          </cell>
          <cell r="X129" t="str">
            <v>GC1.ASX</v>
          </cell>
          <cell r="Y129">
            <v>96.5</v>
          </cell>
          <cell r="Z129" t="str">
            <v>GC1.ASX</v>
          </cell>
          <cell r="AA129">
            <v>90</v>
          </cell>
          <cell r="AB129" t="str">
            <v>GC1.ASX</v>
          </cell>
          <cell r="AD129" t="str">
            <v>GC1.ASX</v>
          </cell>
          <cell r="AF129" t="str">
            <v>GC1.ASX</v>
          </cell>
          <cell r="AG129">
            <v>100</v>
          </cell>
        </row>
        <row r="130">
          <cell r="A130" t="str">
            <v>GDF</v>
          </cell>
          <cell r="B130" t="str">
            <v>GDF.ASX</v>
          </cell>
          <cell r="C130" t="str">
            <v>GDF.ASX</v>
          </cell>
          <cell r="D130">
            <v>316</v>
          </cell>
          <cell r="E130">
            <v>1236069.8950000003</v>
          </cell>
          <cell r="F130">
            <v>116.5</v>
          </cell>
          <cell r="G130">
            <v>1042374</v>
          </cell>
          <cell r="J130" t="str">
            <v>GDF.ASX</v>
          </cell>
          <cell r="K130" t="str">
            <v>GDF</v>
          </cell>
          <cell r="L130">
            <v>2</v>
          </cell>
          <cell r="M130">
            <v>166133512.80000001</v>
          </cell>
          <cell r="N130">
            <v>138444594</v>
          </cell>
          <cell r="O130">
            <v>42187</v>
          </cell>
          <cell r="P130" t="str">
            <v>Units</v>
          </cell>
          <cell r="Q130" t="str">
            <v>Ordinary Units Fully Paid</v>
          </cell>
          <cell r="R130" t="str">
            <v>Garda Diversified Property Fund</v>
          </cell>
          <cell r="S130">
            <v>119</v>
          </cell>
          <cell r="T130">
            <v>8.990325003862381</v>
          </cell>
          <cell r="U130">
            <v>125.5</v>
          </cell>
          <cell r="V130">
            <v>111</v>
          </cell>
          <cell r="X130" t="str">
            <v>GDF.ASX</v>
          </cell>
          <cell r="Y130">
            <v>118.5</v>
          </cell>
          <cell r="Z130" t="str">
            <v>GDF.ASX</v>
          </cell>
          <cell r="AA130">
            <v>111.51840019226076</v>
          </cell>
          <cell r="AB130" t="str">
            <v>GDF.ASX</v>
          </cell>
          <cell r="AC130">
            <v>94</v>
          </cell>
          <cell r="AD130" t="str">
            <v>GDF.ASX</v>
          </cell>
          <cell r="AF130" t="str">
            <v>GDF.ASX</v>
          </cell>
          <cell r="AG130">
            <v>116.5</v>
          </cell>
        </row>
        <row r="131">
          <cell r="A131" t="str">
            <v>GDI</v>
          </cell>
          <cell r="B131" t="str">
            <v>GDI.ASX</v>
          </cell>
          <cell r="C131" t="str">
            <v>GDI.ASX</v>
          </cell>
          <cell r="D131">
            <v>23676</v>
          </cell>
          <cell r="E131">
            <v>22150719.407700002</v>
          </cell>
          <cell r="F131">
            <v>129</v>
          </cell>
          <cell r="G131">
            <v>17084240</v>
          </cell>
          <cell r="J131" t="str">
            <v>GDI.ASX</v>
          </cell>
          <cell r="K131" t="str">
            <v>GDI</v>
          </cell>
          <cell r="L131">
            <v>2</v>
          </cell>
          <cell r="M131">
            <v>645774571.5</v>
          </cell>
          <cell r="N131">
            <v>536665396</v>
          </cell>
          <cell r="O131">
            <v>41625</v>
          </cell>
          <cell r="P131" t="str">
            <v>Stapled</v>
          </cell>
          <cell r="Q131" t="str">
            <v>Stapled Securities Fully Paid</v>
          </cell>
          <cell r="R131" t="str">
            <v>GDI Property Group</v>
          </cell>
          <cell r="S131">
            <v>112</v>
          </cell>
          <cell r="T131">
            <v>7.75</v>
          </cell>
          <cell r="U131">
            <v>133.5</v>
          </cell>
          <cell r="V131">
            <v>99</v>
          </cell>
          <cell r="X131" t="str">
            <v>GDI.ASX</v>
          </cell>
          <cell r="Y131">
            <v>128.5</v>
          </cell>
          <cell r="Z131" t="str">
            <v>GDI.ASX</v>
          </cell>
          <cell r="AA131">
            <v>102.49999999999999</v>
          </cell>
          <cell r="AB131" t="str">
            <v>GDI.ASX</v>
          </cell>
          <cell r="AC131">
            <v>87.5</v>
          </cell>
          <cell r="AD131" t="str">
            <v>GDI.ASX</v>
          </cell>
          <cell r="AE131">
            <v>124.63749945163727</v>
          </cell>
          <cell r="AF131" t="str">
            <v>GDI.ASX</v>
          </cell>
          <cell r="AG131">
            <v>129</v>
          </cell>
        </row>
        <row r="132">
          <cell r="A132" t="str">
            <v>GDX</v>
          </cell>
          <cell r="B132" t="str">
            <v>GDX.AXW</v>
          </cell>
          <cell r="C132" t="str">
            <v>GDX.AXW</v>
          </cell>
          <cell r="D132">
            <v>249</v>
          </cell>
          <cell r="E132">
            <v>3306681.04</v>
          </cell>
          <cell r="F132">
            <v>2973</v>
          </cell>
          <cell r="G132">
            <v>111375</v>
          </cell>
          <cell r="J132" t="str">
            <v>GDX.AXW</v>
          </cell>
          <cell r="K132" t="str">
            <v>GDX</v>
          </cell>
          <cell r="L132">
            <v>2</v>
          </cell>
          <cell r="M132">
            <v>70416930</v>
          </cell>
          <cell r="N132">
            <v>2317231</v>
          </cell>
          <cell r="O132">
            <v>42181</v>
          </cell>
          <cell r="P132" t="str">
            <v>Cdi 1:1</v>
          </cell>
          <cell r="Q132" t="str">
            <v>Exchange Traded Fund Cdis 1:1</v>
          </cell>
          <cell r="R132" t="str">
            <v>Vaneck Vectors Gold Miners ETF</v>
          </cell>
          <cell r="S132">
            <v>0</v>
          </cell>
          <cell r="T132">
            <v>19.035499999999999</v>
          </cell>
          <cell r="U132">
            <v>3188</v>
          </cell>
          <cell r="V132">
            <v>2738</v>
          </cell>
          <cell r="X132" t="str">
            <v>GDX.AXW</v>
          </cell>
          <cell r="Y132">
            <v>2969</v>
          </cell>
          <cell r="Z132" t="str">
            <v>GDX.AXW</v>
          </cell>
          <cell r="AA132">
            <v>2867</v>
          </cell>
          <cell r="AB132" t="str">
            <v>GDX.AXW</v>
          </cell>
          <cell r="AC132">
            <v>2326</v>
          </cell>
          <cell r="AD132" t="str">
            <v>GDX.AXW</v>
          </cell>
          <cell r="AF132" t="str">
            <v>GDX.AXW</v>
          </cell>
          <cell r="AG132">
            <v>2973</v>
          </cell>
        </row>
        <row r="133">
          <cell r="A133" t="str">
            <v>GEAR</v>
          </cell>
          <cell r="B133" t="str">
            <v>GEAR.AXW</v>
          </cell>
          <cell r="C133" t="str">
            <v>GEAR.AXW</v>
          </cell>
          <cell r="D133">
            <v>545</v>
          </cell>
          <cell r="E133">
            <v>13718932.069999998</v>
          </cell>
          <cell r="F133">
            <v>2470</v>
          </cell>
          <cell r="G133">
            <v>573241</v>
          </cell>
          <cell r="J133" t="str">
            <v>GEAR.AXW</v>
          </cell>
          <cell r="K133" t="str">
            <v>GEAR</v>
          </cell>
          <cell r="L133">
            <v>2</v>
          </cell>
          <cell r="M133">
            <v>73588303.019999996</v>
          </cell>
          <cell r="N133">
            <v>3037074</v>
          </cell>
          <cell r="O133">
            <v>41761</v>
          </cell>
          <cell r="P133" t="str">
            <v>ETF Units</v>
          </cell>
          <cell r="Q133" t="str">
            <v>Exchange Traded Fund Units Fully Paid</v>
          </cell>
          <cell r="R133" t="str">
            <v>BETASHARES GEARED AUSTRALIAN EQUITY FUND (HEDGE FUND)</v>
          </cell>
          <cell r="S133">
            <v>0</v>
          </cell>
          <cell r="T133">
            <v>164.8742</v>
          </cell>
          <cell r="U133">
            <v>2505</v>
          </cell>
          <cell r="V133">
            <v>2028</v>
          </cell>
          <cell r="X133" t="str">
            <v>GEAR.AXW</v>
          </cell>
          <cell r="Y133">
            <v>2293</v>
          </cell>
          <cell r="Z133" t="str">
            <v>GEAR.AXW</v>
          </cell>
          <cell r="AA133">
            <v>2132</v>
          </cell>
          <cell r="AB133" t="str">
            <v>GEAR.AXW</v>
          </cell>
          <cell r="AC133">
            <v>2048</v>
          </cell>
          <cell r="AD133" t="str">
            <v>GEAR.AXW</v>
          </cell>
          <cell r="AE133">
            <v>87.568801879882813</v>
          </cell>
          <cell r="AF133" t="str">
            <v>GEAR.AXW</v>
          </cell>
          <cell r="AG133">
            <v>2470</v>
          </cell>
        </row>
        <row r="134">
          <cell r="A134" t="str">
            <v>GFL</v>
          </cell>
          <cell r="B134" t="str">
            <v>GFL.ASX</v>
          </cell>
          <cell r="C134" t="str">
            <v>GFL.ASX</v>
          </cell>
          <cell r="D134">
            <v>24</v>
          </cell>
          <cell r="E134">
            <v>28454.340000000004</v>
          </cell>
          <cell r="F134">
            <v>208</v>
          </cell>
          <cell r="G134">
            <v>13521</v>
          </cell>
          <cell r="J134" t="str">
            <v>GFL.ASX</v>
          </cell>
          <cell r="K134" t="str">
            <v>GFL</v>
          </cell>
          <cell r="L134">
            <v>2</v>
          </cell>
          <cell r="M134">
            <v>22196939.129999999</v>
          </cell>
          <cell r="N134">
            <v>10723159</v>
          </cell>
          <cell r="O134">
            <v>39048</v>
          </cell>
          <cell r="P134" t="str">
            <v>Fpo</v>
          </cell>
          <cell r="Q134" t="str">
            <v>Ordinary Fully Paid</v>
          </cell>
          <cell r="R134" t="str">
            <v>Global Masters Fund Limited</v>
          </cell>
          <cell r="S134">
            <v>194</v>
          </cell>
          <cell r="U134">
            <v>246.78480529785156</v>
          </cell>
          <cell r="V134">
            <v>199.5</v>
          </cell>
          <cell r="X134" t="str">
            <v>GFL.ASX</v>
          </cell>
          <cell r="Y134">
            <v>206</v>
          </cell>
          <cell r="Z134" t="str">
            <v>GFL.ASX</v>
          </cell>
          <cell r="AA134">
            <v>201.01020431518555</v>
          </cell>
          <cell r="AB134" t="str">
            <v>GFL.ASX</v>
          </cell>
          <cell r="AC134">
            <v>164.19150352478027</v>
          </cell>
          <cell r="AD134" t="str">
            <v>GFL.ASX</v>
          </cell>
          <cell r="AE134">
            <v>106.97325229644775</v>
          </cell>
          <cell r="AF134" t="str">
            <v>GFL.ASX</v>
          </cell>
          <cell r="AG134">
            <v>208</v>
          </cell>
        </row>
        <row r="135">
          <cell r="A135" t="str">
            <v>GGUS</v>
          </cell>
          <cell r="B135" t="str">
            <v>GGUS.AXW</v>
          </cell>
          <cell r="C135" t="str">
            <v>GGUS.AXW</v>
          </cell>
          <cell r="D135">
            <v>401</v>
          </cell>
          <cell r="E135">
            <v>11122865.739999998</v>
          </cell>
          <cell r="F135">
            <v>1607.9999999999998</v>
          </cell>
          <cell r="G135">
            <v>673530</v>
          </cell>
          <cell r="J135" t="str">
            <v>GGUS.AXW</v>
          </cell>
          <cell r="K135" t="str">
            <v>GGUS</v>
          </cell>
          <cell r="L135">
            <v>2</v>
          </cell>
          <cell r="M135">
            <v>20670000</v>
          </cell>
          <cell r="N135">
            <v>1100000</v>
          </cell>
          <cell r="O135">
            <v>42234</v>
          </cell>
          <cell r="P135" t="str">
            <v>Tmf Units</v>
          </cell>
          <cell r="Q135" t="str">
            <v>Trading Managed Fund Units Fully Paid</v>
          </cell>
          <cell r="R135" t="str">
            <v>Betashares Geared US EQ Fnd Currency Hdg</v>
          </cell>
          <cell r="S135">
            <v>0</v>
          </cell>
          <cell r="T135">
            <v>12.0121</v>
          </cell>
          <cell r="U135">
            <v>1838</v>
          </cell>
          <cell r="V135">
            <v>1266</v>
          </cell>
          <cell r="X135" t="str">
            <v>GGUS.AXW</v>
          </cell>
          <cell r="Y135">
            <v>1561</v>
          </cell>
          <cell r="Z135" t="str">
            <v>GGUS.AXW</v>
          </cell>
          <cell r="AA135">
            <v>1289</v>
          </cell>
          <cell r="AB135" t="str">
            <v>GGUS.AXW</v>
          </cell>
          <cell r="AC135">
            <v>86</v>
          </cell>
          <cell r="AD135" t="str">
            <v>GGUS.AXW</v>
          </cell>
          <cell r="AF135" t="str">
            <v>GGUS.AXW</v>
          </cell>
          <cell r="AG135">
            <v>1607.9999999999998</v>
          </cell>
        </row>
        <row r="136">
          <cell r="A136" t="str">
            <v>GLIN</v>
          </cell>
          <cell r="B136" t="str">
            <v>GLIN.AXW</v>
          </cell>
          <cell r="C136" t="str">
            <v>GLIN.AXW</v>
          </cell>
          <cell r="D136">
            <v>29</v>
          </cell>
          <cell r="E136">
            <v>683003.24</v>
          </cell>
          <cell r="F136">
            <v>272</v>
          </cell>
          <cell r="G136">
            <v>257952</v>
          </cell>
          <cell r="J136" t="str">
            <v>GLIN.AXW</v>
          </cell>
          <cell r="K136" t="str">
            <v>GLIN</v>
          </cell>
          <cell r="L136">
            <v>2</v>
          </cell>
          <cell r="M136">
            <v>23801283.84</v>
          </cell>
          <cell r="N136">
            <v>8661996</v>
          </cell>
          <cell r="O136">
            <v>42527</v>
          </cell>
          <cell r="P136" t="str">
            <v>Tmf Units</v>
          </cell>
          <cell r="Q136" t="str">
            <v>Trading Managed Fund Units Fully Paid</v>
          </cell>
          <cell r="R136" t="str">
            <v>Amp Cap Global Infrastructure Sec Fund</v>
          </cell>
          <cell r="S136">
            <v>0</v>
          </cell>
          <cell r="T136">
            <v>5.8304</v>
          </cell>
          <cell r="U136">
            <v>281</v>
          </cell>
          <cell r="V136">
            <v>244</v>
          </cell>
          <cell r="X136" t="str">
            <v>GLIN.AXW</v>
          </cell>
          <cell r="Y136">
            <v>260</v>
          </cell>
          <cell r="Z136" t="str">
            <v>GLIN.AXW</v>
          </cell>
          <cell r="AA136">
            <v>267</v>
          </cell>
          <cell r="AB136" t="str">
            <v>GLIN.AXW</v>
          </cell>
          <cell r="AC136">
            <v>625</v>
          </cell>
          <cell r="AD136" t="str">
            <v>GLIN.AXW</v>
          </cell>
          <cell r="AE136">
            <v>521</v>
          </cell>
          <cell r="AF136" t="str">
            <v>GLIN.AXW</v>
          </cell>
          <cell r="AG136">
            <v>272</v>
          </cell>
        </row>
        <row r="137">
          <cell r="A137" t="str">
            <v>GMG</v>
          </cell>
          <cell r="B137" t="str">
            <v>GMG.ASX</v>
          </cell>
          <cell r="C137" t="str">
            <v>GMG.ASX</v>
          </cell>
          <cell r="D137">
            <v>189071</v>
          </cell>
          <cell r="E137">
            <v>1174111481.4293516</v>
          </cell>
          <cell r="F137">
            <v>961.99999999999989</v>
          </cell>
          <cell r="G137">
            <v>121927259</v>
          </cell>
          <cell r="J137" t="str">
            <v>GMG.ASX</v>
          </cell>
          <cell r="K137" t="str">
            <v>GMG</v>
          </cell>
          <cell r="L137">
            <v>2</v>
          </cell>
          <cell r="M137">
            <v>15515685152.351999</v>
          </cell>
          <cell r="N137">
            <v>1800763877</v>
          </cell>
          <cell r="O137">
            <v>38385</v>
          </cell>
          <cell r="P137" t="str">
            <v>Stapled</v>
          </cell>
          <cell r="Q137" t="str">
            <v>Stapled Securities Fully Paid</v>
          </cell>
          <cell r="R137" t="str">
            <v>Goodman Group</v>
          </cell>
          <cell r="S137">
            <v>438</v>
          </cell>
          <cell r="T137">
            <v>28</v>
          </cell>
          <cell r="U137">
            <v>1000</v>
          </cell>
          <cell r="V137">
            <v>747</v>
          </cell>
          <cell r="X137" t="str">
            <v>GMG.ASX</v>
          </cell>
          <cell r="Y137">
            <v>930.00000000000011</v>
          </cell>
          <cell r="Z137" t="str">
            <v>GMG.ASX</v>
          </cell>
          <cell r="AA137">
            <v>787</v>
          </cell>
          <cell r="AB137" t="str">
            <v>GMG.ASX</v>
          </cell>
          <cell r="AC137">
            <v>627</v>
          </cell>
          <cell r="AD137" t="str">
            <v>GMG.ASX</v>
          </cell>
          <cell r="AE137">
            <v>488</v>
          </cell>
          <cell r="AF137" t="str">
            <v>GMG.ASX</v>
          </cell>
          <cell r="AG137">
            <v>961.99999999999989</v>
          </cell>
        </row>
        <row r="138">
          <cell r="A138" t="str">
            <v>GOLD</v>
          </cell>
          <cell r="B138" t="str">
            <v>GOLD.ASX</v>
          </cell>
          <cell r="C138" t="str">
            <v>GOLD.ASX</v>
          </cell>
          <cell r="D138">
            <v>1974</v>
          </cell>
          <cell r="E138">
            <v>21842786.88499999</v>
          </cell>
          <cell r="F138">
            <v>16005.000000000002</v>
          </cell>
          <cell r="G138">
            <v>135131</v>
          </cell>
          <cell r="J138" t="str">
            <v>GOLD.ASX</v>
          </cell>
          <cell r="K138" t="str">
            <v>GOLD</v>
          </cell>
          <cell r="L138">
            <v>2</v>
          </cell>
          <cell r="M138">
            <v>587511173.70000005</v>
          </cell>
          <cell r="N138">
            <v>3693645</v>
          </cell>
          <cell r="O138">
            <v>37708</v>
          </cell>
          <cell r="P138" t="str">
            <v>ETFS GOLD</v>
          </cell>
          <cell r="Q138" t="str">
            <v>ETFS Physical GOLD</v>
          </cell>
          <cell r="R138" t="str">
            <v>ETFS Metal Securities Australia Limited</v>
          </cell>
          <cell r="S138">
            <v>0</v>
          </cell>
          <cell r="U138">
            <v>16900</v>
          </cell>
          <cell r="V138">
            <v>14733</v>
          </cell>
          <cell r="X138" t="str">
            <v>GOLD.ASX</v>
          </cell>
          <cell r="Y138">
            <v>16410</v>
          </cell>
          <cell r="Z138" t="str">
            <v>GOLD.ASX</v>
          </cell>
          <cell r="AA138">
            <v>15366</v>
          </cell>
          <cell r="AB138" t="str">
            <v>GOLD.ASX</v>
          </cell>
          <cell r="AC138">
            <v>14665</v>
          </cell>
          <cell r="AD138" t="str">
            <v>GOLD.ASX</v>
          </cell>
          <cell r="AE138">
            <v>12560</v>
          </cell>
          <cell r="AF138" t="str">
            <v>GOLD.ASX</v>
          </cell>
          <cell r="AG138">
            <v>16005.000000000002</v>
          </cell>
        </row>
        <row r="139">
          <cell r="A139" t="str">
            <v>GOVT</v>
          </cell>
          <cell r="B139" t="str">
            <v>GOVT.AXW</v>
          </cell>
          <cell r="C139" t="str">
            <v>GOVT.AXW</v>
          </cell>
          <cell r="D139">
            <v>21</v>
          </cell>
          <cell r="E139">
            <v>226595.02</v>
          </cell>
          <cell r="F139">
            <v>2573</v>
          </cell>
          <cell r="G139">
            <v>8820</v>
          </cell>
          <cell r="J139" t="str">
            <v>GOVT.AXW</v>
          </cell>
          <cell r="K139" t="str">
            <v>GOVT</v>
          </cell>
          <cell r="L139">
            <v>2</v>
          </cell>
          <cell r="M139">
            <v>13046055.550000001</v>
          </cell>
          <cell r="N139">
            <v>504683</v>
          </cell>
          <cell r="O139">
            <v>41117</v>
          </cell>
          <cell r="P139" t="str">
            <v>ETF Units</v>
          </cell>
          <cell r="Q139" t="str">
            <v>Exchange Traded Fund Units Fully Paid</v>
          </cell>
          <cell r="R139" t="str">
            <v>SPDR S&amp;P/ASX Australian Government Bond Fund</v>
          </cell>
          <cell r="S139">
            <v>0</v>
          </cell>
          <cell r="T139">
            <v>55.084800000000001</v>
          </cell>
          <cell r="U139">
            <v>2591</v>
          </cell>
          <cell r="V139">
            <v>2533</v>
          </cell>
          <cell r="X139" t="str">
            <v>GOVT.AXW</v>
          </cell>
          <cell r="Y139">
            <v>2566</v>
          </cell>
          <cell r="Z139" t="str">
            <v>GOVT.AXW</v>
          </cell>
          <cell r="AA139">
            <v>2562</v>
          </cell>
          <cell r="AB139" t="str">
            <v>GOVT.AXW</v>
          </cell>
          <cell r="AC139">
            <v>2553</v>
          </cell>
          <cell r="AD139" t="str">
            <v>GOVT.AXW</v>
          </cell>
          <cell r="AE139">
            <v>2479</v>
          </cell>
          <cell r="AF139" t="str">
            <v>GOVT.AXW</v>
          </cell>
          <cell r="AG139">
            <v>2573</v>
          </cell>
        </row>
        <row r="140">
          <cell r="A140" t="str">
            <v>GOZ</v>
          </cell>
          <cell r="B140" t="str">
            <v>GOZ.ASX</v>
          </cell>
          <cell r="C140" t="str">
            <v>GOZ.ASX</v>
          </cell>
          <cell r="D140">
            <v>31608</v>
          </cell>
          <cell r="E140">
            <v>60387732.641399994</v>
          </cell>
          <cell r="F140">
            <v>361</v>
          </cell>
          <cell r="G140">
            <v>16674470</v>
          </cell>
          <cell r="J140" t="str">
            <v>GOZ.ASX</v>
          </cell>
          <cell r="K140" t="str">
            <v>GOZ</v>
          </cell>
          <cell r="L140">
            <v>2</v>
          </cell>
          <cell r="M140">
            <v>914765488</v>
          </cell>
          <cell r="N140">
            <v>675384368</v>
          </cell>
          <cell r="O140">
            <v>39267</v>
          </cell>
          <cell r="P140" t="str">
            <v>Stapled</v>
          </cell>
          <cell r="Q140" t="str">
            <v>Unit/Ordinary Fully Paid Stapled Securities</v>
          </cell>
          <cell r="R140" t="str">
            <v>Growthpoint Properties Australia</v>
          </cell>
          <cell r="S140">
            <v>308</v>
          </cell>
          <cell r="T140">
            <v>22.2</v>
          </cell>
          <cell r="U140">
            <v>373</v>
          </cell>
          <cell r="V140">
            <v>307</v>
          </cell>
          <cell r="X140" t="str">
            <v>GOZ.ASX</v>
          </cell>
          <cell r="Y140">
            <v>355</v>
          </cell>
          <cell r="Z140" t="str">
            <v>GOZ.ASX</v>
          </cell>
          <cell r="AA140">
            <v>314</v>
          </cell>
          <cell r="AB140" t="str">
            <v>GOZ.ASX</v>
          </cell>
          <cell r="AC140">
            <v>313</v>
          </cell>
          <cell r="AD140" t="str">
            <v>GOZ.ASX</v>
          </cell>
          <cell r="AE140">
            <v>237.48659669723509</v>
          </cell>
          <cell r="AF140" t="str">
            <v>GOZ.ASX</v>
          </cell>
          <cell r="AG140">
            <v>361</v>
          </cell>
        </row>
        <row r="141">
          <cell r="A141" t="str">
            <v>EFF</v>
          </cell>
          <cell r="B141" t="str">
            <v>EFF.ASX</v>
          </cell>
          <cell r="C141" t="str">
            <v>EFF.ASX</v>
          </cell>
          <cell r="D141">
            <v>0</v>
          </cell>
          <cell r="E141">
            <v>0</v>
          </cell>
          <cell r="F141">
            <v>160</v>
          </cell>
          <cell r="G141">
            <v>0</v>
          </cell>
          <cell r="J141" t="str">
            <v>EFF.ASX</v>
          </cell>
          <cell r="K141" t="str">
            <v>EFF</v>
          </cell>
          <cell r="L141">
            <v>2</v>
          </cell>
          <cell r="M141">
            <v>32437481.600000001</v>
          </cell>
          <cell r="N141">
            <v>20273426</v>
          </cell>
          <cell r="O141">
            <v>43278</v>
          </cell>
          <cell r="P141" t="str">
            <v>Units</v>
          </cell>
          <cell r="Q141" t="str">
            <v>Ordinary Units Fully Paid</v>
          </cell>
          <cell r="R141" t="str">
            <v>Evans &amp; Partners Australian Flagship Fund</v>
          </cell>
          <cell r="S141">
            <v>0</v>
          </cell>
          <cell r="X141" t="str">
            <v>EFF.ASX</v>
          </cell>
          <cell r="Z141" t="str">
            <v>EFF.ASX</v>
          </cell>
          <cell r="AB141" t="str">
            <v>EFF.ASX</v>
          </cell>
          <cell r="AD141" t="str">
            <v>EFF.ASX</v>
          </cell>
          <cell r="AF141" t="str">
            <v>EFF.ASX</v>
          </cell>
          <cell r="AG141">
            <v>160</v>
          </cell>
        </row>
        <row r="142">
          <cell r="A142" t="str">
            <v>WGB</v>
          </cell>
          <cell r="B142" t="str">
            <v>WGB.ASX</v>
          </cell>
          <cell r="C142" t="str">
            <v>WGB.ASX</v>
          </cell>
          <cell r="D142">
            <v>618</v>
          </cell>
          <cell r="E142">
            <v>6820938.8799999999</v>
          </cell>
          <cell r="F142">
            <v>221</v>
          </cell>
          <cell r="G142">
            <v>3106160</v>
          </cell>
          <cell r="J142" t="str">
            <v>WGB.ASX</v>
          </cell>
          <cell r="K142" t="str">
            <v>WGB</v>
          </cell>
          <cell r="L142">
            <v>2</v>
          </cell>
          <cell r="M142">
            <v>465536770.60000002</v>
          </cell>
          <cell r="N142">
            <v>211607623</v>
          </cell>
          <cell r="O142">
            <v>43273</v>
          </cell>
          <cell r="P142" t="str">
            <v>Fpo</v>
          </cell>
          <cell r="Q142" t="str">
            <v>Ordinary Fully Paid</v>
          </cell>
          <cell r="R142" t="str">
            <v>WAM Global Limited</v>
          </cell>
          <cell r="S142">
            <v>0</v>
          </cell>
          <cell r="U142">
            <v>221</v>
          </cell>
          <cell r="V142">
            <v>218</v>
          </cell>
          <cell r="X142" t="str">
            <v>WGB.ASX</v>
          </cell>
          <cell r="Z142" t="str">
            <v>WGB.ASX</v>
          </cell>
          <cell r="AB142" t="str">
            <v>WGB.ASX</v>
          </cell>
          <cell r="AD142" t="str">
            <v>WGB.ASX</v>
          </cell>
          <cell r="AF142" t="str">
            <v>WGB.ASX</v>
          </cell>
          <cell r="AG142">
            <v>221</v>
          </cell>
        </row>
        <row r="143">
          <cell r="A143" t="str">
            <v>INIF</v>
          </cell>
          <cell r="B143" t="str">
            <v>INIF.AXW</v>
          </cell>
          <cell r="C143" t="str">
            <v>INIF.AXW</v>
          </cell>
          <cell r="D143">
            <v>210</v>
          </cell>
          <cell r="E143">
            <v>3769546.88</v>
          </cell>
          <cell r="F143">
            <v>252</v>
          </cell>
          <cell r="G143">
            <v>1495349</v>
          </cell>
          <cell r="J143" t="str">
            <v>INIF.AXW</v>
          </cell>
          <cell r="K143" t="str">
            <v>INIF</v>
          </cell>
          <cell r="L143">
            <v>2</v>
          </cell>
          <cell r="M143">
            <v>30834653.300000001</v>
          </cell>
          <cell r="N143">
            <v>13592959</v>
          </cell>
          <cell r="O143">
            <v>43270</v>
          </cell>
          <cell r="P143" t="str">
            <v>Tmf Units</v>
          </cell>
          <cell r="Q143" t="str">
            <v>Trading Managed Units Fully Paid</v>
          </cell>
          <cell r="R143" t="str">
            <v>Investsmart Australian Equity Income Fund (Managed Fund)</v>
          </cell>
          <cell r="S143">
            <v>0</v>
          </cell>
          <cell r="U143">
            <v>258</v>
          </cell>
          <cell r="V143">
            <v>250</v>
          </cell>
          <cell r="X143" t="str">
            <v>INIF.AXW</v>
          </cell>
          <cell r="Z143" t="str">
            <v>INIF.AXW</v>
          </cell>
          <cell r="AB143" t="str">
            <v>INIF.AXW</v>
          </cell>
          <cell r="AD143" t="str">
            <v>INIF.AXW</v>
          </cell>
          <cell r="AF143" t="str">
            <v>INIF.AXW</v>
          </cell>
          <cell r="AG143">
            <v>252</v>
          </cell>
        </row>
        <row r="144">
          <cell r="A144" t="str">
            <v>CRED</v>
          </cell>
          <cell r="B144" t="str">
            <v>CRED.AXW</v>
          </cell>
          <cell r="C144" t="str">
            <v>CRED.AXW</v>
          </cell>
          <cell r="D144">
            <v>74</v>
          </cell>
          <cell r="E144">
            <v>1971305.8099999998</v>
          </cell>
          <cell r="F144">
            <v>2515</v>
          </cell>
          <cell r="G144">
            <v>78695</v>
          </cell>
          <cell r="J144" t="str">
            <v>CRED.AXW</v>
          </cell>
          <cell r="K144" t="str">
            <v>CRED</v>
          </cell>
          <cell r="L144">
            <v>2</v>
          </cell>
          <cell r="M144">
            <v>4022400</v>
          </cell>
          <cell r="N144">
            <v>160000</v>
          </cell>
          <cell r="O144">
            <v>43255</v>
          </cell>
          <cell r="P144" t="str">
            <v>ETF Units</v>
          </cell>
          <cell r="Q144" t="str">
            <v>Exchange Traded Fund Units Fully Paid</v>
          </cell>
          <cell r="R144" t="str">
            <v>BetaShares AustInvest Grade CorpBond ETF</v>
          </cell>
          <cell r="S144">
            <v>0</v>
          </cell>
          <cell r="T144">
            <v>7.2854999999999999</v>
          </cell>
          <cell r="U144">
            <v>2520</v>
          </cell>
          <cell r="V144">
            <v>2484</v>
          </cell>
          <cell r="X144" t="str">
            <v>CRED.AXW</v>
          </cell>
          <cell r="Z144" t="str">
            <v>CRED.AXW</v>
          </cell>
          <cell r="AB144" t="str">
            <v>CRED.AXW</v>
          </cell>
          <cell r="AD144" t="str">
            <v>CRED.AXW</v>
          </cell>
          <cell r="AF144" t="str">
            <v>CRED.AXW</v>
          </cell>
          <cell r="AG144">
            <v>2515</v>
          </cell>
        </row>
        <row r="145">
          <cell r="A145" t="str">
            <v>GPS</v>
          </cell>
          <cell r="B145" t="str">
            <v>GPS.ASX</v>
          </cell>
          <cell r="C145" t="str">
            <v>GPS.ASX</v>
          </cell>
          <cell r="D145">
            <v>0</v>
          </cell>
          <cell r="E145">
            <v>0</v>
          </cell>
          <cell r="F145">
            <v>6</v>
          </cell>
          <cell r="G145">
            <v>0</v>
          </cell>
          <cell r="J145" t="str">
            <v>GPS.ASX</v>
          </cell>
          <cell r="K145" t="str">
            <v>GPS</v>
          </cell>
          <cell r="L145">
            <v>2</v>
          </cell>
          <cell r="M145">
            <v>5157750</v>
          </cell>
          <cell r="N145">
            <v>85962500</v>
          </cell>
          <cell r="O145">
            <v>41457</v>
          </cell>
          <cell r="P145" t="str">
            <v>Fpo</v>
          </cell>
          <cell r="Q145" t="str">
            <v>Ordinary Fully Paid</v>
          </cell>
          <cell r="R145" t="str">
            <v>GPS Alliance Holdings Limited</v>
          </cell>
          <cell r="S145">
            <v>1</v>
          </cell>
          <cell r="U145">
            <v>6.3</v>
          </cell>
          <cell r="V145">
            <v>0.9</v>
          </cell>
          <cell r="X145" t="str">
            <v>GPS.ASX</v>
          </cell>
          <cell r="Y145">
            <v>6</v>
          </cell>
          <cell r="Z145" t="str">
            <v>GPS.ASX</v>
          </cell>
          <cell r="AA145">
            <v>1.5</v>
          </cell>
          <cell r="AB145" t="str">
            <v>GPS.ASX</v>
          </cell>
          <cell r="AC145">
            <v>16.5</v>
          </cell>
          <cell r="AD145" t="str">
            <v>GPS.ASX</v>
          </cell>
          <cell r="AE145">
            <v>409.99999999999994</v>
          </cell>
          <cell r="AF145" t="str">
            <v>GPS.ASX</v>
          </cell>
          <cell r="AG145">
            <v>6</v>
          </cell>
        </row>
        <row r="146">
          <cell r="A146" t="str">
            <v>GPT</v>
          </cell>
          <cell r="B146" t="str">
            <v>GPT.ASX</v>
          </cell>
          <cell r="C146" t="str">
            <v>GPT.ASX</v>
          </cell>
          <cell r="D146">
            <v>100224</v>
          </cell>
          <cell r="E146">
            <v>632508455.62029994</v>
          </cell>
          <cell r="F146">
            <v>505.99999999999994</v>
          </cell>
          <cell r="G146">
            <v>124676794</v>
          </cell>
          <cell r="J146" t="str">
            <v>GPT.ASX</v>
          </cell>
          <cell r="K146" t="str">
            <v>GPT</v>
          </cell>
          <cell r="L146">
            <v>2</v>
          </cell>
          <cell r="M146">
            <v>9171514870</v>
          </cell>
          <cell r="N146">
            <v>1804890426</v>
          </cell>
          <cell r="O146">
            <v>26024</v>
          </cell>
          <cell r="P146" t="str">
            <v>Stapled</v>
          </cell>
          <cell r="Q146" t="str">
            <v>Stapled Securities Fully Paid</v>
          </cell>
          <cell r="R146" t="str">
            <v>GPT Group</v>
          </cell>
          <cell r="S146">
            <v>504</v>
          </cell>
          <cell r="T146">
            <v>24.91</v>
          </cell>
          <cell r="U146">
            <v>553</v>
          </cell>
          <cell r="V146">
            <v>459</v>
          </cell>
          <cell r="X146" t="str">
            <v>GPT.ASX</v>
          </cell>
          <cell r="Y146">
            <v>503</v>
          </cell>
          <cell r="Z146" t="str">
            <v>GPT.ASX</v>
          </cell>
          <cell r="AA146">
            <v>479</v>
          </cell>
          <cell r="AB146" t="str">
            <v>GPT.ASX</v>
          </cell>
          <cell r="AC146">
            <v>428</v>
          </cell>
          <cell r="AD146" t="str">
            <v>GPT.ASX</v>
          </cell>
          <cell r="AE146">
            <v>384</v>
          </cell>
          <cell r="AF146" t="str">
            <v>GPT.ASX</v>
          </cell>
          <cell r="AG146">
            <v>505.99999999999994</v>
          </cell>
        </row>
        <row r="147">
          <cell r="A147" t="str">
            <v>MGG</v>
          </cell>
          <cell r="B147" t="str">
            <v>MGG.ASX</v>
          </cell>
          <cell r="C147" t="str">
            <v>MGG.ASX</v>
          </cell>
          <cell r="D147">
            <v>4172</v>
          </cell>
          <cell r="E147">
            <v>32939702.862500008</v>
          </cell>
          <cell r="F147">
            <v>160</v>
          </cell>
          <cell r="G147">
            <v>20687064</v>
          </cell>
          <cell r="J147" t="str">
            <v>MGG.ASX</v>
          </cell>
          <cell r="K147" t="str">
            <v>MGG</v>
          </cell>
          <cell r="L147">
            <v>2</v>
          </cell>
          <cell r="M147">
            <v>1710330453</v>
          </cell>
          <cell r="N147">
            <v>1052511048</v>
          </cell>
          <cell r="O147">
            <v>43026</v>
          </cell>
          <cell r="P147" t="str">
            <v>Units</v>
          </cell>
          <cell r="Q147" t="str">
            <v>Ordinary Units Fully Paid</v>
          </cell>
          <cell r="R147" t="str">
            <v>Magellan Global Trust</v>
          </cell>
          <cell r="S147">
            <v>154</v>
          </cell>
          <cell r="T147">
            <v>6</v>
          </cell>
          <cell r="U147">
            <v>173.5</v>
          </cell>
          <cell r="V147">
            <v>142</v>
          </cell>
          <cell r="X147" t="str">
            <v>MGG.ASX</v>
          </cell>
          <cell r="Y147">
            <v>154</v>
          </cell>
          <cell r="Z147" t="str">
            <v>MGG.ASX</v>
          </cell>
          <cell r="AA147">
            <v>2534</v>
          </cell>
          <cell r="AB147" t="str">
            <v>MGG.ASX</v>
          </cell>
          <cell r="AC147">
            <v>2603</v>
          </cell>
          <cell r="AD147" t="str">
            <v>MGG.ASX</v>
          </cell>
          <cell r="AE147">
            <v>2457</v>
          </cell>
          <cell r="AF147" t="str">
            <v>MGG.ASX</v>
          </cell>
          <cell r="AG147">
            <v>160</v>
          </cell>
        </row>
        <row r="148">
          <cell r="A148" t="str">
            <v>MXT</v>
          </cell>
          <cell r="B148" t="str">
            <v>MXT.ASX</v>
          </cell>
          <cell r="C148" t="str">
            <v>MXT.ASX</v>
          </cell>
          <cell r="D148">
            <v>1989</v>
          </cell>
          <cell r="E148">
            <v>20653306.215000004</v>
          </cell>
          <cell r="F148">
            <v>206.99999999999997</v>
          </cell>
          <cell r="G148">
            <v>10028287</v>
          </cell>
          <cell r="J148" t="str">
            <v>MXT.ASX</v>
          </cell>
          <cell r="K148" t="str">
            <v>MXT</v>
          </cell>
          <cell r="L148">
            <v>2</v>
          </cell>
          <cell r="M148">
            <v>752384520.80999994</v>
          </cell>
          <cell r="N148">
            <v>363470783</v>
          </cell>
          <cell r="O148">
            <v>43017</v>
          </cell>
          <cell r="P148" t="str">
            <v>Units</v>
          </cell>
          <cell r="Q148" t="str">
            <v>Ordinary Units Fully Paid</v>
          </cell>
          <cell r="R148" t="str">
            <v>Mcp Master Income Trust</v>
          </cell>
          <cell r="S148">
            <v>2</v>
          </cell>
          <cell r="T148">
            <v>7.04062352399826</v>
          </cell>
          <cell r="U148">
            <v>213.73149454593658</v>
          </cell>
          <cell r="V148">
            <v>198.81999492645264</v>
          </cell>
          <cell r="X148" t="str">
            <v>MXT.ASX</v>
          </cell>
          <cell r="Y148">
            <v>206</v>
          </cell>
          <cell r="Z148" t="str">
            <v>MXT.ASX</v>
          </cell>
          <cell r="AA148">
            <v>328</v>
          </cell>
          <cell r="AB148" t="str">
            <v>MXT.ASX</v>
          </cell>
          <cell r="AC148">
            <v>275</v>
          </cell>
          <cell r="AD148" t="str">
            <v>MXT.ASX</v>
          </cell>
          <cell r="AE148">
            <v>218.68557445870397</v>
          </cell>
          <cell r="AF148" t="str">
            <v>MXT.ASX</v>
          </cell>
          <cell r="AG148">
            <v>206.99999999999997</v>
          </cell>
        </row>
        <row r="149">
          <cell r="A149" t="str">
            <v>FPP</v>
          </cell>
          <cell r="B149" t="str">
            <v>FPP.ASX</v>
          </cell>
          <cell r="C149" t="str">
            <v>FPP.ASX</v>
          </cell>
          <cell r="D149">
            <v>59</v>
          </cell>
          <cell r="E149">
            <v>105109.97</v>
          </cell>
          <cell r="F149">
            <v>102</v>
          </cell>
          <cell r="G149">
            <v>100536</v>
          </cell>
          <cell r="J149" t="str">
            <v>FPP.ASX</v>
          </cell>
          <cell r="K149" t="str">
            <v>FPP</v>
          </cell>
          <cell r="L149">
            <v>2</v>
          </cell>
          <cell r="M149">
            <v>16531001.039999999</v>
          </cell>
          <cell r="N149">
            <v>15166056</v>
          </cell>
          <cell r="O149">
            <v>43018</v>
          </cell>
          <cell r="P149" t="str">
            <v>Units</v>
          </cell>
          <cell r="Q149" t="str">
            <v>Ordinary Units Fully Paid</v>
          </cell>
          <cell r="R149" t="str">
            <v>Fat Prophets Global Property Fund</v>
          </cell>
          <cell r="S149">
            <v>108</v>
          </cell>
          <cell r="T149">
            <v>2.3690000000000002</v>
          </cell>
          <cell r="U149">
            <v>120</v>
          </cell>
          <cell r="V149">
            <v>99</v>
          </cell>
          <cell r="X149" t="str">
            <v>FPP.ASX</v>
          </cell>
          <cell r="Y149">
            <v>107</v>
          </cell>
          <cell r="Z149" t="str">
            <v>FPP.ASX</v>
          </cell>
          <cell r="AA149">
            <v>365</v>
          </cell>
          <cell r="AB149" t="str">
            <v>FPP.ASX</v>
          </cell>
          <cell r="AC149">
            <v>17</v>
          </cell>
          <cell r="AD149" t="str">
            <v>FPP.ASX</v>
          </cell>
          <cell r="AF149" t="str">
            <v>FPP.ASX</v>
          </cell>
          <cell r="AG149">
            <v>102</v>
          </cell>
        </row>
        <row r="150">
          <cell r="A150" t="str">
            <v>GROW</v>
          </cell>
          <cell r="B150" t="str">
            <v>GROW.AXW</v>
          </cell>
          <cell r="C150" t="str">
            <v>GROW.AXW</v>
          </cell>
          <cell r="D150">
            <v>60</v>
          </cell>
          <cell r="E150">
            <v>1993550.86</v>
          </cell>
          <cell r="F150">
            <v>370</v>
          </cell>
          <cell r="G150">
            <v>543796</v>
          </cell>
          <cell r="J150" t="str">
            <v>GROW.AXW</v>
          </cell>
          <cell r="K150" t="str">
            <v>GROW</v>
          </cell>
          <cell r="L150">
            <v>2</v>
          </cell>
          <cell r="M150">
            <v>46616590.68</v>
          </cell>
          <cell r="N150">
            <v>12743457</v>
          </cell>
          <cell r="O150">
            <v>42598</v>
          </cell>
          <cell r="P150" t="str">
            <v>Tmf Units</v>
          </cell>
          <cell r="Q150" t="str">
            <v>Trading Managed Fund Units Fully Paid</v>
          </cell>
          <cell r="R150" t="str">
            <v>Schroder Real Return Fund (Managed Fund)</v>
          </cell>
          <cell r="S150">
            <v>0</v>
          </cell>
          <cell r="T150">
            <v>12.5509</v>
          </cell>
          <cell r="U150">
            <v>372</v>
          </cell>
          <cell r="V150">
            <v>358</v>
          </cell>
          <cell r="X150" t="str">
            <v>GROW.AXW</v>
          </cell>
          <cell r="Y150">
            <v>366</v>
          </cell>
          <cell r="Z150" t="str">
            <v>GROW.AXW</v>
          </cell>
          <cell r="AA150">
            <v>364</v>
          </cell>
          <cell r="AB150" t="str">
            <v>GROW.AXW</v>
          </cell>
          <cell r="AC150">
            <v>104.5</v>
          </cell>
          <cell r="AD150" t="str">
            <v>GROW.AXW</v>
          </cell>
          <cell r="AE150">
            <v>368</v>
          </cell>
          <cell r="AF150" t="str">
            <v>GROW.AXW</v>
          </cell>
          <cell r="AG150">
            <v>370</v>
          </cell>
        </row>
        <row r="151">
          <cell r="A151" t="str">
            <v>GVF</v>
          </cell>
          <cell r="B151" t="str">
            <v>GVF.ASX</v>
          </cell>
          <cell r="C151" t="str">
            <v>GVF.ASX</v>
          </cell>
          <cell r="D151">
            <v>340</v>
          </cell>
          <cell r="E151">
            <v>1847438.92</v>
          </cell>
          <cell r="F151">
            <v>106.5</v>
          </cell>
          <cell r="G151">
            <v>1733308</v>
          </cell>
          <cell r="J151" t="str">
            <v>GVF.ASX</v>
          </cell>
          <cell r="K151" t="str">
            <v>GVF</v>
          </cell>
          <cell r="L151">
            <v>2</v>
          </cell>
          <cell r="M151">
            <v>156097849.31999999</v>
          </cell>
          <cell r="N151">
            <v>147262122</v>
          </cell>
          <cell r="O151">
            <v>41841</v>
          </cell>
          <cell r="P151" t="str">
            <v>Fpo</v>
          </cell>
          <cell r="Q151" t="str">
            <v>Ordinary Fully Paid</v>
          </cell>
          <cell r="R151" t="str">
            <v>Global Value Fund Limited</v>
          </cell>
          <cell r="S151">
            <v>108</v>
          </cell>
          <cell r="T151">
            <v>6.3</v>
          </cell>
          <cell r="U151">
            <v>125</v>
          </cell>
          <cell r="V151">
            <v>102.5</v>
          </cell>
          <cell r="X151" t="str">
            <v>GVF.ASX</v>
          </cell>
          <cell r="Y151">
            <v>108</v>
          </cell>
          <cell r="Z151" t="str">
            <v>GVF.ASX</v>
          </cell>
          <cell r="AA151">
            <v>115.99999999999999</v>
          </cell>
          <cell r="AB151" t="str">
            <v>GVF.ASX</v>
          </cell>
          <cell r="AC151">
            <v>102.49999999999999</v>
          </cell>
          <cell r="AD151" t="str">
            <v>GVF.ASX</v>
          </cell>
          <cell r="AF151" t="str">
            <v>GVF.ASX</v>
          </cell>
          <cell r="AG151">
            <v>106.5</v>
          </cell>
        </row>
        <row r="152">
          <cell r="A152" t="str">
            <v>HACK</v>
          </cell>
          <cell r="B152" t="str">
            <v>HACK.AXW</v>
          </cell>
          <cell r="C152" t="str">
            <v>HACK.AXW</v>
          </cell>
          <cell r="D152">
            <v>1071</v>
          </cell>
          <cell r="E152">
            <v>14122732.949999999</v>
          </cell>
          <cell r="F152">
            <v>692</v>
          </cell>
          <cell r="G152">
            <v>2017594</v>
          </cell>
          <cell r="J152" t="str">
            <v>HACK.AXW</v>
          </cell>
          <cell r="K152" t="str">
            <v>HACK</v>
          </cell>
          <cell r="L152">
            <v>2</v>
          </cell>
          <cell r="M152">
            <v>76751935.040000007</v>
          </cell>
          <cell r="N152">
            <v>12604448</v>
          </cell>
          <cell r="O152">
            <v>42614</v>
          </cell>
          <cell r="P152" t="str">
            <v>ETF Units</v>
          </cell>
          <cell r="Q152" t="str">
            <v>Exchange Traded Fund Units Fully Paid</v>
          </cell>
          <cell r="R152" t="str">
            <v>Betashares Global Cybersecurity ETF</v>
          </cell>
          <cell r="S152">
            <v>0</v>
          </cell>
          <cell r="T152">
            <v>31.6707</v>
          </cell>
          <cell r="U152">
            <v>730</v>
          </cell>
          <cell r="V152">
            <v>508</v>
          </cell>
          <cell r="X152" t="str">
            <v>HACK.AXW</v>
          </cell>
          <cell r="Y152">
            <v>681</v>
          </cell>
          <cell r="Z152" t="str">
            <v>HACK.AXW</v>
          </cell>
          <cell r="AA152">
            <v>562</v>
          </cell>
          <cell r="AB152" t="str">
            <v>HACK.AXW</v>
          </cell>
          <cell r="AC152">
            <v>104.5</v>
          </cell>
          <cell r="AD152" t="str">
            <v>HACK.AXW</v>
          </cell>
          <cell r="AF152" t="str">
            <v>HACK.AXW</v>
          </cell>
          <cell r="AG152">
            <v>692</v>
          </cell>
        </row>
        <row r="153">
          <cell r="A153" t="str">
            <v>HEUR</v>
          </cell>
          <cell r="B153" t="str">
            <v>HEUR.AXW</v>
          </cell>
          <cell r="C153" t="str">
            <v>HEUR.AXW</v>
          </cell>
          <cell r="D153">
            <v>703</v>
          </cell>
          <cell r="E153">
            <v>8904500.5249999985</v>
          </cell>
          <cell r="F153">
            <v>1272</v>
          </cell>
          <cell r="G153">
            <v>684151</v>
          </cell>
          <cell r="J153" t="str">
            <v>HEUR.AXW</v>
          </cell>
          <cell r="K153" t="str">
            <v>HEUR</v>
          </cell>
          <cell r="L153">
            <v>2</v>
          </cell>
          <cell r="M153">
            <v>50295767.280000001</v>
          </cell>
          <cell r="N153">
            <v>3902428</v>
          </cell>
          <cell r="O153">
            <v>42502</v>
          </cell>
          <cell r="P153" t="str">
            <v>ETF Units</v>
          </cell>
          <cell r="Q153" t="str">
            <v>Exchange Traded Fund Units Fully Paid</v>
          </cell>
          <cell r="R153" t="str">
            <v>Betashares Wisdomtree Europe ETF - Currency Hedged</v>
          </cell>
          <cell r="S153">
            <v>0</v>
          </cell>
          <cell r="T153">
            <v>50.488</v>
          </cell>
          <cell r="U153">
            <v>1335</v>
          </cell>
          <cell r="V153">
            <v>1167</v>
          </cell>
          <cell r="X153" t="str">
            <v>HEUR.AXW</v>
          </cell>
          <cell r="Y153">
            <v>1291</v>
          </cell>
          <cell r="Z153" t="str">
            <v>HEUR.AXW</v>
          </cell>
          <cell r="AA153">
            <v>1247</v>
          </cell>
          <cell r="AB153" t="str">
            <v>HEUR.AXW</v>
          </cell>
          <cell r="AD153" t="str">
            <v>HEUR.AXW</v>
          </cell>
          <cell r="AF153" t="str">
            <v>HEUR.AXW</v>
          </cell>
          <cell r="AG153">
            <v>1272</v>
          </cell>
        </row>
        <row r="154">
          <cell r="A154" t="str">
            <v>HJPN</v>
          </cell>
          <cell r="B154" t="str">
            <v>HJPN.AXW</v>
          </cell>
          <cell r="C154" t="str">
            <v>HJPN.AXW</v>
          </cell>
          <cell r="D154">
            <v>391</v>
          </cell>
          <cell r="E154">
            <v>5947677.9200000009</v>
          </cell>
          <cell r="F154">
            <v>1326</v>
          </cell>
          <cell r="G154">
            <v>441265</v>
          </cell>
          <cell r="J154" t="str">
            <v>HJPN.AXW</v>
          </cell>
          <cell r="K154" t="str">
            <v>HJPN</v>
          </cell>
          <cell r="L154">
            <v>2</v>
          </cell>
          <cell r="M154">
            <v>63634572.960000001</v>
          </cell>
          <cell r="N154">
            <v>4802718</v>
          </cell>
          <cell r="O154">
            <v>42502</v>
          </cell>
          <cell r="P154" t="str">
            <v>ETF Units</v>
          </cell>
          <cell r="Q154" t="str">
            <v>Exchange Traded Fund Units Fully Paid</v>
          </cell>
          <cell r="R154" t="str">
            <v>Betashares Wisdomtree Japan ETF - Currency Hedged</v>
          </cell>
          <cell r="S154">
            <v>0</v>
          </cell>
          <cell r="T154">
            <v>37.254100000000001</v>
          </cell>
          <cell r="U154">
            <v>1517</v>
          </cell>
          <cell r="V154">
            <v>1225</v>
          </cell>
          <cell r="X154" t="str">
            <v>HJPN.AXW</v>
          </cell>
          <cell r="Y154">
            <v>1333</v>
          </cell>
          <cell r="Z154" t="str">
            <v>HJPN.AXW</v>
          </cell>
          <cell r="AA154">
            <v>1265</v>
          </cell>
          <cell r="AB154" t="str">
            <v>HJPN.AXW</v>
          </cell>
          <cell r="AC154">
            <v>121</v>
          </cell>
          <cell r="AD154" t="str">
            <v>HJPN.AXW</v>
          </cell>
          <cell r="AE154">
            <v>81.133252292871475</v>
          </cell>
          <cell r="AF154" t="str">
            <v>HJPN.AXW</v>
          </cell>
          <cell r="AG154">
            <v>1326</v>
          </cell>
        </row>
        <row r="155">
          <cell r="A155" t="str">
            <v>PIA</v>
          </cell>
          <cell r="B155" t="str">
            <v>HHV.ASX</v>
          </cell>
          <cell r="C155" t="str">
            <v>HHV.ASX</v>
          </cell>
          <cell r="D155">
            <v>486</v>
          </cell>
          <cell r="E155">
            <v>4000630.4799999991</v>
          </cell>
          <cell r="F155">
            <v>115.99999999999999</v>
          </cell>
          <cell r="G155">
            <v>3467594</v>
          </cell>
          <cell r="J155" t="str">
            <v>HHV.ASX</v>
          </cell>
          <cell r="K155" t="str">
            <v>PIA</v>
          </cell>
          <cell r="L155">
            <v>2</v>
          </cell>
          <cell r="M155">
            <v>285803158.41000003</v>
          </cell>
          <cell r="N155">
            <v>247448622</v>
          </cell>
          <cell r="O155">
            <v>38065</v>
          </cell>
          <cell r="P155" t="str">
            <v>Fpo</v>
          </cell>
          <cell r="Q155" t="str">
            <v>Ordinary Fully Paid</v>
          </cell>
          <cell r="R155" t="str">
            <v>Pengana International Equities Limited</v>
          </cell>
          <cell r="S155">
            <v>123</v>
          </cell>
          <cell r="T155">
            <v>7</v>
          </cell>
          <cell r="U155">
            <v>121</v>
          </cell>
          <cell r="V155">
            <v>111</v>
          </cell>
          <cell r="X155" t="str">
            <v>HHV.ASX</v>
          </cell>
          <cell r="Y155">
            <v>112.99999999999999</v>
          </cell>
          <cell r="Z155" t="str">
            <v>HHV.ASX</v>
          </cell>
          <cell r="AA155">
            <v>110.5</v>
          </cell>
          <cell r="AB155" t="str">
            <v>HHV.ASX</v>
          </cell>
          <cell r="AC155">
            <v>120</v>
          </cell>
          <cell r="AD155" t="str">
            <v>HHV.ASX</v>
          </cell>
          <cell r="AE155">
            <v>84.617502391338348</v>
          </cell>
          <cell r="AF155" t="str">
            <v>HHV.ASX</v>
          </cell>
          <cell r="AG155">
            <v>115.99999999999999</v>
          </cell>
        </row>
        <row r="156">
          <cell r="A156" t="str">
            <v>HHY</v>
          </cell>
          <cell r="B156" t="str">
            <v>HHY.ASX</v>
          </cell>
          <cell r="C156" t="str">
            <v>HHY.ASX</v>
          </cell>
          <cell r="D156">
            <v>31</v>
          </cell>
          <cell r="E156">
            <v>17880.627</v>
          </cell>
          <cell r="F156">
            <v>6.9</v>
          </cell>
          <cell r="G156">
            <v>255681</v>
          </cell>
          <cell r="J156" t="str">
            <v>HHY.ASX</v>
          </cell>
          <cell r="K156" t="str">
            <v>HHY</v>
          </cell>
          <cell r="L156">
            <v>2</v>
          </cell>
          <cell r="M156">
            <v>5617085.6910000006</v>
          </cell>
          <cell r="N156">
            <v>81407039</v>
          </cell>
          <cell r="O156">
            <v>38926</v>
          </cell>
          <cell r="P156" t="str">
            <v>Ord Units</v>
          </cell>
          <cell r="Q156" t="str">
            <v>Ordinary Units Fully Paid</v>
          </cell>
          <cell r="R156" t="str">
            <v>HHY Fund</v>
          </cell>
          <cell r="S156">
            <v>9</v>
          </cell>
          <cell r="U156">
            <v>13.5</v>
          </cell>
          <cell r="V156">
            <v>5.8</v>
          </cell>
          <cell r="X156" t="str">
            <v>HHY.ASX</v>
          </cell>
          <cell r="Y156">
            <v>8</v>
          </cell>
          <cell r="Z156" t="str">
            <v>HHY.ASX</v>
          </cell>
          <cell r="AA156">
            <v>10.5</v>
          </cell>
          <cell r="AB156" t="str">
            <v>HHY.ASX</v>
          </cell>
          <cell r="AC156">
            <v>10</v>
          </cell>
          <cell r="AD156" t="str">
            <v>HHY.ASX</v>
          </cell>
          <cell r="AE156">
            <v>11.880699872970581</v>
          </cell>
          <cell r="AF156" t="str">
            <v>HHY.ASX</v>
          </cell>
          <cell r="AG156">
            <v>6.9</v>
          </cell>
        </row>
        <row r="157">
          <cell r="A157" t="str">
            <v>HML</v>
          </cell>
          <cell r="B157" t="str">
            <v>HML.ASX</v>
          </cell>
          <cell r="C157" t="str">
            <v>HML.ASX</v>
          </cell>
          <cell r="D157">
            <v>0</v>
          </cell>
          <cell r="E157">
            <v>0</v>
          </cell>
          <cell r="F157">
            <v>199</v>
          </cell>
          <cell r="G157">
            <v>0</v>
          </cell>
          <cell r="J157" t="str">
            <v>HML.ASX</v>
          </cell>
          <cell r="K157" t="str">
            <v>HML</v>
          </cell>
          <cell r="L157">
            <v>2</v>
          </cell>
          <cell r="M157">
            <v>61381828.600000001</v>
          </cell>
          <cell r="N157">
            <v>30845140</v>
          </cell>
          <cell r="O157">
            <v>42405</v>
          </cell>
          <cell r="P157" t="str">
            <v>Fpo</v>
          </cell>
          <cell r="Q157" t="str">
            <v>Ordinary Fully Paid</v>
          </cell>
          <cell r="R157" t="str">
            <v>Henry Morgan Limited</v>
          </cell>
          <cell r="S157">
            <v>144</v>
          </cell>
          <cell r="X157" t="str">
            <v>HML.ASX</v>
          </cell>
          <cell r="Y157">
            <v>199</v>
          </cell>
          <cell r="Z157" t="str">
            <v>HML.ASX</v>
          </cell>
          <cell r="AA157">
            <v>199</v>
          </cell>
          <cell r="AB157" t="str">
            <v>HML.ASX</v>
          </cell>
          <cell r="AC157">
            <v>270</v>
          </cell>
          <cell r="AD157" t="str">
            <v>HML.ASX</v>
          </cell>
          <cell r="AE157">
            <v>26.651299715042114</v>
          </cell>
          <cell r="AF157" t="str">
            <v>HML.ASX</v>
          </cell>
          <cell r="AG157">
            <v>199</v>
          </cell>
        </row>
        <row r="158">
          <cell r="A158" t="str">
            <v>HPI</v>
          </cell>
          <cell r="B158" t="str">
            <v>HPI.ASX</v>
          </cell>
          <cell r="C158" t="str">
            <v>HPI.ASX</v>
          </cell>
          <cell r="D158">
            <v>11611</v>
          </cell>
          <cell r="E158">
            <v>12462786.187600002</v>
          </cell>
          <cell r="F158">
            <v>316</v>
          </cell>
          <cell r="G158">
            <v>3833531</v>
          </cell>
          <cell r="J158" t="str">
            <v>HPI.ASX</v>
          </cell>
          <cell r="K158" t="str">
            <v>HPI</v>
          </cell>
          <cell r="L158">
            <v>2</v>
          </cell>
          <cell r="M158">
            <v>444598470</v>
          </cell>
          <cell r="N158">
            <v>146105439</v>
          </cell>
          <cell r="O158">
            <v>41618</v>
          </cell>
          <cell r="P158" t="str">
            <v>Stapled</v>
          </cell>
          <cell r="Q158" t="str">
            <v>Stapled Security Fully Paid</v>
          </cell>
          <cell r="R158" t="str">
            <v>Hotel Property Investments</v>
          </cell>
          <cell r="S158">
            <v>267</v>
          </cell>
          <cell r="T158">
            <v>19.600000000000001</v>
          </cell>
          <cell r="U158">
            <v>342</v>
          </cell>
          <cell r="V158">
            <v>274</v>
          </cell>
          <cell r="X158" t="str">
            <v>HPI.ASX</v>
          </cell>
          <cell r="Y158">
            <v>326</v>
          </cell>
          <cell r="Z158" t="str">
            <v>HPI.ASX</v>
          </cell>
          <cell r="AA158">
            <v>300</v>
          </cell>
          <cell r="AB158" t="str">
            <v>HPI.ASX</v>
          </cell>
          <cell r="AC158">
            <v>257</v>
          </cell>
          <cell r="AD158" t="str">
            <v>HPI.ASX</v>
          </cell>
          <cell r="AF158" t="str">
            <v>HPI.ASX</v>
          </cell>
          <cell r="AG158">
            <v>316</v>
          </cell>
        </row>
        <row r="159">
          <cell r="A159" t="str">
            <v>HVST</v>
          </cell>
          <cell r="B159" t="str">
            <v>HVST.AXW</v>
          </cell>
          <cell r="C159" t="str">
            <v>HVST.AXW</v>
          </cell>
          <cell r="D159">
            <v>614</v>
          </cell>
          <cell r="E159">
            <v>21463958.630000003</v>
          </cell>
          <cell r="F159">
            <v>1605</v>
          </cell>
          <cell r="G159">
            <v>1357181</v>
          </cell>
          <cell r="J159" t="str">
            <v>HVST.AXW</v>
          </cell>
          <cell r="K159" t="str">
            <v>HVST</v>
          </cell>
          <cell r="L159">
            <v>2</v>
          </cell>
          <cell r="M159">
            <v>210036953.91999999</v>
          </cell>
          <cell r="N159">
            <v>12403663</v>
          </cell>
          <cell r="O159">
            <v>41946</v>
          </cell>
          <cell r="P159" t="str">
            <v>ETF Units</v>
          </cell>
          <cell r="Q159" t="str">
            <v>Exchange Traded Fund Units Fully Paid</v>
          </cell>
          <cell r="R159" t="str">
            <v>BETASHARES AUSTRALIAN DIVIDEND HARVESTER FUND (MANAGED FUND)</v>
          </cell>
          <cell r="S159">
            <v>0</v>
          </cell>
          <cell r="T159">
            <v>175.96520000000001</v>
          </cell>
          <cell r="U159">
            <v>1858</v>
          </cell>
          <cell r="V159">
            <v>1519</v>
          </cell>
          <cell r="X159" t="str">
            <v>HVST.AXW</v>
          </cell>
          <cell r="Y159">
            <v>1566</v>
          </cell>
          <cell r="Z159" t="str">
            <v>HVST.AXW</v>
          </cell>
          <cell r="AA159">
            <v>1870</v>
          </cell>
          <cell r="AB159" t="str">
            <v>HVST.AXW</v>
          </cell>
          <cell r="AC159">
            <v>2291</v>
          </cell>
          <cell r="AD159" t="str">
            <v>HVST.AXW</v>
          </cell>
          <cell r="AE159">
            <v>4544</v>
          </cell>
          <cell r="AF159" t="str">
            <v>HVST.AXW</v>
          </cell>
          <cell r="AG159">
            <v>1605</v>
          </cell>
        </row>
        <row r="160">
          <cell r="A160" t="str">
            <v>IAA</v>
          </cell>
          <cell r="B160" t="str">
            <v>IAA.AXW</v>
          </cell>
          <cell r="C160" t="str">
            <v>IAA.AXW</v>
          </cell>
          <cell r="D160">
            <v>1340</v>
          </cell>
          <cell r="E160">
            <v>27394125.460000008</v>
          </cell>
          <cell r="F160">
            <v>8498</v>
          </cell>
          <cell r="G160">
            <v>313162</v>
          </cell>
          <cell r="J160" t="str">
            <v>IAA.AXW</v>
          </cell>
          <cell r="K160" t="str">
            <v>IAA</v>
          </cell>
          <cell r="L160">
            <v>2</v>
          </cell>
          <cell r="M160">
            <v>422356730.83999997</v>
          </cell>
          <cell r="N160">
            <v>5106435</v>
          </cell>
          <cell r="O160">
            <v>39701</v>
          </cell>
          <cell r="P160" t="str">
            <v>Cdi 1:1</v>
          </cell>
          <cell r="Q160" t="str">
            <v>Chess Depositary Interests 1:1 Ishasia</v>
          </cell>
          <cell r="R160" t="str">
            <v>iShares Asia 50 ETF</v>
          </cell>
          <cell r="S160">
            <v>6873</v>
          </cell>
          <cell r="T160">
            <v>118.97669999999999</v>
          </cell>
          <cell r="U160">
            <v>9300</v>
          </cell>
          <cell r="V160">
            <v>7367</v>
          </cell>
          <cell r="X160" t="str">
            <v>IAA.AXW</v>
          </cell>
          <cell r="Y160">
            <v>8770</v>
          </cell>
          <cell r="Z160" t="str">
            <v>IAA.AXW</v>
          </cell>
          <cell r="AA160">
            <v>7459</v>
          </cell>
          <cell r="AB160" t="str">
            <v>IAA.AXW</v>
          </cell>
          <cell r="AC160">
            <v>6601.0000000000009</v>
          </cell>
          <cell r="AD160" t="str">
            <v>IAA.AXW</v>
          </cell>
          <cell r="AE160">
            <v>4598</v>
          </cell>
          <cell r="AF160" t="str">
            <v>IAA.AXW</v>
          </cell>
          <cell r="AG160">
            <v>8498</v>
          </cell>
        </row>
        <row r="161">
          <cell r="A161" t="str">
            <v>IAF</v>
          </cell>
          <cell r="B161" t="str">
            <v>IAF.AXW</v>
          </cell>
          <cell r="C161" t="str">
            <v>IAF.AXW</v>
          </cell>
          <cell r="D161">
            <v>1344</v>
          </cell>
          <cell r="E161">
            <v>25930918.649999995</v>
          </cell>
          <cell r="F161">
            <v>10701</v>
          </cell>
          <cell r="G161">
            <v>243420</v>
          </cell>
          <cell r="J161" t="str">
            <v>IAF.AXW</v>
          </cell>
          <cell r="K161" t="str">
            <v>IAF</v>
          </cell>
          <cell r="L161">
            <v>2</v>
          </cell>
          <cell r="M161">
            <v>569731492.82000005</v>
          </cell>
          <cell r="N161">
            <v>5452583</v>
          </cell>
          <cell r="O161">
            <v>40982</v>
          </cell>
          <cell r="P161" t="str">
            <v>ETF Units</v>
          </cell>
          <cell r="Q161" t="str">
            <v>Exchange Traded Fund Units Fully Paid</v>
          </cell>
          <cell r="R161" t="str">
            <v>iShares Core Composite Bond ETF</v>
          </cell>
          <cell r="S161">
            <v>0</v>
          </cell>
          <cell r="T161">
            <v>243.14190000000002</v>
          </cell>
          <cell r="U161">
            <v>10753</v>
          </cell>
          <cell r="V161">
            <v>10503</v>
          </cell>
          <cell r="X161" t="str">
            <v>IAF.AXW</v>
          </cell>
          <cell r="Y161">
            <v>10674</v>
          </cell>
          <cell r="Z161" t="str">
            <v>IAF.AXW</v>
          </cell>
          <cell r="AA161">
            <v>10654</v>
          </cell>
          <cell r="AB161" t="str">
            <v>IAF.AXW</v>
          </cell>
          <cell r="AC161">
            <v>10628</v>
          </cell>
          <cell r="AD161" t="str">
            <v>IAF.AXW</v>
          </cell>
          <cell r="AE161">
            <v>10355</v>
          </cell>
          <cell r="AF161" t="str">
            <v>IAF.AXW</v>
          </cell>
          <cell r="AG161">
            <v>10701</v>
          </cell>
        </row>
        <row r="162">
          <cell r="A162" t="str">
            <v>IBC</v>
          </cell>
          <cell r="B162" t="str">
            <v>IBC.ASX</v>
          </cell>
          <cell r="C162" t="str">
            <v>IBC.ASX</v>
          </cell>
          <cell r="D162">
            <v>35</v>
          </cell>
          <cell r="E162">
            <v>241002.84</v>
          </cell>
          <cell r="F162">
            <v>49</v>
          </cell>
          <cell r="G162">
            <v>495266</v>
          </cell>
          <cell r="J162" t="str">
            <v>IBC.ASX</v>
          </cell>
          <cell r="K162" t="str">
            <v>IBC</v>
          </cell>
          <cell r="L162">
            <v>2</v>
          </cell>
          <cell r="M162">
            <v>66570445.734999999</v>
          </cell>
          <cell r="N162">
            <v>137258651</v>
          </cell>
          <cell r="O162">
            <v>31869</v>
          </cell>
          <cell r="P162" t="str">
            <v>Fpo</v>
          </cell>
          <cell r="Q162" t="str">
            <v>Ordinary Fully Paid</v>
          </cell>
          <cell r="R162" t="str">
            <v>Ironbark Capital Limited</v>
          </cell>
          <cell r="S162">
            <v>53</v>
          </cell>
          <cell r="T162">
            <v>1.85</v>
          </cell>
          <cell r="U162">
            <v>53</v>
          </cell>
          <cell r="V162">
            <v>46</v>
          </cell>
          <cell r="X162" t="str">
            <v>IBC.ASX</v>
          </cell>
          <cell r="Y162">
            <v>49</v>
          </cell>
          <cell r="Z162" t="str">
            <v>IBC.ASX</v>
          </cell>
          <cell r="AA162">
            <v>50</v>
          </cell>
          <cell r="AB162" t="str">
            <v>IBC.ASX</v>
          </cell>
          <cell r="AC162">
            <v>52.079999148845673</v>
          </cell>
          <cell r="AD162" t="str">
            <v>IBC.ASX</v>
          </cell>
          <cell r="AE162">
            <v>50.903091140431201</v>
          </cell>
          <cell r="AF162" t="str">
            <v>IBC.ASX</v>
          </cell>
          <cell r="AG162">
            <v>49</v>
          </cell>
        </row>
        <row r="163">
          <cell r="A163" t="str">
            <v>IDR</v>
          </cell>
          <cell r="B163" t="str">
            <v>IDR.ASX</v>
          </cell>
          <cell r="C163" t="str">
            <v>IDR.ASX</v>
          </cell>
          <cell r="D163">
            <v>4502</v>
          </cell>
          <cell r="E163">
            <v>11571198.517999999</v>
          </cell>
          <cell r="F163">
            <v>265</v>
          </cell>
          <cell r="G163">
            <v>4463746</v>
          </cell>
          <cell r="J163" t="str">
            <v>IDR.ASX</v>
          </cell>
          <cell r="K163" t="str">
            <v>IDR</v>
          </cell>
          <cell r="L163">
            <v>2</v>
          </cell>
          <cell r="M163">
            <v>260307480</v>
          </cell>
          <cell r="N163">
            <v>162839743</v>
          </cell>
          <cell r="O163">
            <v>41611</v>
          </cell>
          <cell r="P163" t="str">
            <v>Stapled</v>
          </cell>
          <cell r="Q163" t="str">
            <v>Stapled Securities</v>
          </cell>
          <cell r="R163" t="str">
            <v>Industria REIT</v>
          </cell>
          <cell r="S163">
            <v>257</v>
          </cell>
          <cell r="T163">
            <v>16.5</v>
          </cell>
          <cell r="U163">
            <v>268</v>
          </cell>
          <cell r="V163">
            <v>223</v>
          </cell>
          <cell r="X163" t="str">
            <v>IDR.ASX</v>
          </cell>
          <cell r="Y163">
            <v>254</v>
          </cell>
          <cell r="Z163" t="str">
            <v>IDR.ASX</v>
          </cell>
          <cell r="AA163">
            <v>229</v>
          </cell>
          <cell r="AB163" t="str">
            <v>IDR.ASX</v>
          </cell>
          <cell r="AC163">
            <v>184.64849680662155</v>
          </cell>
          <cell r="AD163" t="str">
            <v>IDR.ASX</v>
          </cell>
          <cell r="AE163">
            <v>4142</v>
          </cell>
          <cell r="AF163" t="str">
            <v>IDR.ASX</v>
          </cell>
          <cell r="AG163">
            <v>265</v>
          </cell>
        </row>
        <row r="164">
          <cell r="A164" t="str">
            <v>IEM</v>
          </cell>
          <cell r="B164" t="str">
            <v>IEM.AXW</v>
          </cell>
          <cell r="C164" t="str">
            <v>IEM.AXW</v>
          </cell>
          <cell r="D164">
            <v>2311</v>
          </cell>
          <cell r="E164">
            <v>56307603.645000003</v>
          </cell>
          <cell r="F164">
            <v>5854</v>
          </cell>
          <cell r="G164">
            <v>940269</v>
          </cell>
          <cell r="J164" t="str">
            <v>IEM.AXW</v>
          </cell>
          <cell r="K164" t="str">
            <v>IEM</v>
          </cell>
          <cell r="L164">
            <v>2</v>
          </cell>
          <cell r="M164">
            <v>610616868</v>
          </cell>
          <cell r="N164">
            <v>10507720</v>
          </cell>
          <cell r="O164">
            <v>39365</v>
          </cell>
          <cell r="P164" t="str">
            <v>Cdi 1:1</v>
          </cell>
          <cell r="Q164" t="str">
            <v>Chess Depositary Interests 1:1 Ishmsciem</v>
          </cell>
          <cell r="R164" t="str">
            <v>iShares MSCI Emerging Markets ETF</v>
          </cell>
          <cell r="S164">
            <v>4240</v>
          </cell>
          <cell r="T164">
            <v>107.60210000000001</v>
          </cell>
          <cell r="U164">
            <v>6513</v>
          </cell>
          <cell r="V164">
            <v>5331</v>
          </cell>
          <cell r="X164" t="str">
            <v>IEM.AXW</v>
          </cell>
          <cell r="Y164">
            <v>6016</v>
          </cell>
          <cell r="Z164" t="str">
            <v>IEM.AXW</v>
          </cell>
          <cell r="AA164">
            <v>5372</v>
          </cell>
          <cell r="AB164" t="str">
            <v>IEM.AXW</v>
          </cell>
          <cell r="AC164">
            <v>5158</v>
          </cell>
          <cell r="AD164" t="str">
            <v>IEM.AXW</v>
          </cell>
          <cell r="AE164">
            <v>4142</v>
          </cell>
          <cell r="AF164" t="str">
            <v>IEM.AXW</v>
          </cell>
          <cell r="AG164">
            <v>5854</v>
          </cell>
        </row>
        <row r="165">
          <cell r="A165" t="str">
            <v>IEU</v>
          </cell>
          <cell r="B165" t="str">
            <v>IEU.AXW</v>
          </cell>
          <cell r="C165" t="str">
            <v>IEU.AXW</v>
          </cell>
          <cell r="D165">
            <v>1919</v>
          </cell>
          <cell r="E165">
            <v>69259425.034999996</v>
          </cell>
          <cell r="F165">
            <v>6034</v>
          </cell>
          <cell r="G165">
            <v>1125025</v>
          </cell>
          <cell r="J165" t="str">
            <v>IEU.AXW</v>
          </cell>
          <cell r="K165" t="str">
            <v>IEU</v>
          </cell>
          <cell r="L165">
            <v>2</v>
          </cell>
          <cell r="M165">
            <v>793044239.75</v>
          </cell>
          <cell r="N165">
            <v>12636145</v>
          </cell>
          <cell r="O165">
            <v>39365</v>
          </cell>
          <cell r="P165" t="str">
            <v>Cdi 1:1</v>
          </cell>
          <cell r="Q165" t="str">
            <v>Chess Depositary Interests 1:1 Isheu350</v>
          </cell>
          <cell r="R165" t="str">
            <v>iShares Europe ETF</v>
          </cell>
          <cell r="S165">
            <v>5471</v>
          </cell>
          <cell r="T165">
            <v>153.1781</v>
          </cell>
          <cell r="U165">
            <v>6470</v>
          </cell>
          <cell r="V165">
            <v>5641</v>
          </cell>
          <cell r="X165" t="str">
            <v>IEU.AXW</v>
          </cell>
          <cell r="Y165">
            <v>6099</v>
          </cell>
          <cell r="Z165" t="str">
            <v>IEU.AXW</v>
          </cell>
          <cell r="AA165">
            <v>5785</v>
          </cell>
          <cell r="AB165" t="str">
            <v>IEU.AXW</v>
          </cell>
          <cell r="AC165">
            <v>5757</v>
          </cell>
          <cell r="AD165" t="str">
            <v>IEU.AXW</v>
          </cell>
          <cell r="AE165">
            <v>4308</v>
          </cell>
          <cell r="AF165" t="str">
            <v>IEU.AXW</v>
          </cell>
          <cell r="AG165">
            <v>6034</v>
          </cell>
        </row>
        <row r="166">
          <cell r="A166" t="str">
            <v>IFN</v>
          </cell>
          <cell r="B166" t="str">
            <v>IFN.ASX</v>
          </cell>
          <cell r="C166" t="str">
            <v>IFN.ASX</v>
          </cell>
          <cell r="D166">
            <v>18398</v>
          </cell>
          <cell r="E166">
            <v>33337120.449000005</v>
          </cell>
          <cell r="F166">
            <v>66</v>
          </cell>
          <cell r="G166">
            <v>47880088</v>
          </cell>
          <cell r="J166" t="str">
            <v>IFN.ASX</v>
          </cell>
          <cell r="K166" t="str">
            <v>IFN</v>
          </cell>
          <cell r="L166">
            <v>2</v>
          </cell>
          <cell r="M166">
            <v>673248100</v>
          </cell>
          <cell r="N166">
            <v>954060175</v>
          </cell>
          <cell r="O166">
            <v>38653</v>
          </cell>
          <cell r="P166" t="str">
            <v>Stapled</v>
          </cell>
          <cell r="Q166" t="str">
            <v>Stapled Securities Fully Paid</v>
          </cell>
          <cell r="R166" t="str">
            <v>Infigen Energy</v>
          </cell>
          <cell r="S166">
            <v>41</v>
          </cell>
          <cell r="U166">
            <v>82.5</v>
          </cell>
          <cell r="V166">
            <v>56</v>
          </cell>
          <cell r="X166" t="str">
            <v>IFN.ASX</v>
          </cell>
          <cell r="Y166">
            <v>75</v>
          </cell>
          <cell r="Z166" t="str">
            <v>IFN.ASX</v>
          </cell>
          <cell r="AA166">
            <v>73</v>
          </cell>
          <cell r="AB166" t="str">
            <v>IFN.ASX</v>
          </cell>
          <cell r="AC166">
            <v>31.347200393676758</v>
          </cell>
          <cell r="AD166" t="str">
            <v>IFN.ASX</v>
          </cell>
          <cell r="AE166">
            <v>24.979800313711166</v>
          </cell>
          <cell r="AF166" t="str">
            <v>IFN.ASX</v>
          </cell>
          <cell r="AG166">
            <v>66</v>
          </cell>
        </row>
        <row r="167">
          <cell r="A167" t="str">
            <v>IFRA</v>
          </cell>
          <cell r="B167" t="str">
            <v>IFRA.AXW</v>
          </cell>
          <cell r="C167" t="str">
            <v>IFRA.AXW</v>
          </cell>
          <cell r="D167">
            <v>265</v>
          </cell>
          <cell r="E167">
            <v>4259548.25</v>
          </cell>
          <cell r="F167">
            <v>1944.0000000000002</v>
          </cell>
          <cell r="G167">
            <v>224580</v>
          </cell>
          <cell r="J167" t="str">
            <v>IFRA.AXW</v>
          </cell>
          <cell r="K167" t="str">
            <v>IFRA</v>
          </cell>
          <cell r="L167">
            <v>2</v>
          </cell>
          <cell r="M167">
            <v>76513537.599999994</v>
          </cell>
          <cell r="N167">
            <v>3964432</v>
          </cell>
          <cell r="O167">
            <v>42493</v>
          </cell>
          <cell r="P167" t="str">
            <v>ETF Units</v>
          </cell>
          <cell r="Q167" t="str">
            <v>Exchange Traded Fund Units Fully Paid</v>
          </cell>
          <cell r="R167" t="str">
            <v>VANECK VECTORS FTSE GBL INFR (HDGD) ETF</v>
          </cell>
          <cell r="S167">
            <v>0</v>
          </cell>
          <cell r="T167">
            <v>72</v>
          </cell>
          <cell r="U167">
            <v>2029</v>
          </cell>
          <cell r="V167">
            <v>1769</v>
          </cell>
          <cell r="X167" t="str">
            <v>IFRA.AXW</v>
          </cell>
          <cell r="Y167">
            <v>1879</v>
          </cell>
          <cell r="Z167" t="str">
            <v>IFRA.AXW</v>
          </cell>
          <cell r="AA167">
            <v>1957</v>
          </cell>
          <cell r="AB167" t="str">
            <v>IFRA.AXW</v>
          </cell>
          <cell r="AC167">
            <v>10677</v>
          </cell>
          <cell r="AD167" t="str">
            <v>IFRA.AXW</v>
          </cell>
          <cell r="AE167">
            <v>10401</v>
          </cell>
          <cell r="AF167" t="str">
            <v>IFRA.AXW</v>
          </cell>
          <cell r="AG167">
            <v>1944.0000000000002</v>
          </cell>
        </row>
        <row r="168">
          <cell r="A168" t="str">
            <v>IGB</v>
          </cell>
          <cell r="B168" t="str">
            <v>IGB.AXW</v>
          </cell>
          <cell r="C168" t="str">
            <v>IGB.AXW</v>
          </cell>
          <cell r="D168">
            <v>75</v>
          </cell>
          <cell r="E168">
            <v>1684494.5</v>
          </cell>
          <cell r="F168">
            <v>10370</v>
          </cell>
          <cell r="G168">
            <v>16335</v>
          </cell>
          <cell r="J168" t="str">
            <v>IGB.AXW</v>
          </cell>
          <cell r="K168" t="str">
            <v>IGB</v>
          </cell>
          <cell r="L168">
            <v>2</v>
          </cell>
          <cell r="M168">
            <v>30772150.199999999</v>
          </cell>
          <cell r="N168">
            <v>297603</v>
          </cell>
          <cell r="O168">
            <v>40982</v>
          </cell>
          <cell r="P168" t="str">
            <v>ETF Units</v>
          </cell>
          <cell r="Q168" t="str">
            <v>Exchange Traded Fund Units Fully Paid</v>
          </cell>
          <cell r="R168" t="str">
            <v>iShares Treasury ETF</v>
          </cell>
          <cell r="S168">
            <v>0</v>
          </cell>
          <cell r="T168">
            <v>221.1181</v>
          </cell>
          <cell r="U168">
            <v>10386</v>
          </cell>
          <cell r="V168">
            <v>10149</v>
          </cell>
          <cell r="X168" t="str">
            <v>IGB.AXW</v>
          </cell>
          <cell r="Y168">
            <v>10341</v>
          </cell>
          <cell r="Z168" t="str">
            <v>IGB.AXW</v>
          </cell>
          <cell r="AA168">
            <v>10380</v>
          </cell>
          <cell r="AB168" t="str">
            <v>IGB.AXW</v>
          </cell>
          <cell r="AC168">
            <v>10551</v>
          </cell>
          <cell r="AD168" t="str">
            <v>IGB.AXW</v>
          </cell>
          <cell r="AE168">
            <v>10223</v>
          </cell>
          <cell r="AF168" t="str">
            <v>IGB.AXW</v>
          </cell>
          <cell r="AG168">
            <v>10370</v>
          </cell>
        </row>
        <row r="169">
          <cell r="A169" t="str">
            <v>IHCB</v>
          </cell>
          <cell r="B169" t="str">
            <v>IHCB.AXW</v>
          </cell>
          <cell r="C169" t="str">
            <v>IHCB.AXW</v>
          </cell>
          <cell r="D169">
            <v>205</v>
          </cell>
          <cell r="E169">
            <v>3869515.4999999991</v>
          </cell>
          <cell r="F169">
            <v>10341</v>
          </cell>
          <cell r="G169">
            <v>37480</v>
          </cell>
          <cell r="J169" t="str">
            <v>IHCB.AXW</v>
          </cell>
          <cell r="K169" t="str">
            <v>IHCB</v>
          </cell>
          <cell r="L169">
            <v>2</v>
          </cell>
          <cell r="M169">
            <v>80377080.049999997</v>
          </cell>
          <cell r="N169">
            <v>780739</v>
          </cell>
          <cell r="O169">
            <v>42347</v>
          </cell>
          <cell r="P169" t="str">
            <v>ETF Units</v>
          </cell>
          <cell r="Q169" t="str">
            <v>Exchange Traded Fund Units Fully Paid</v>
          </cell>
          <cell r="R169" t="str">
            <v>ISHARES GLOBAL CORPORATE BOND ETF</v>
          </cell>
          <cell r="S169">
            <v>0</v>
          </cell>
          <cell r="T169">
            <v>286.73270000000002</v>
          </cell>
          <cell r="U169">
            <v>10819</v>
          </cell>
          <cell r="V169">
            <v>10250</v>
          </cell>
          <cell r="X169" t="str">
            <v>IHCB.AXW</v>
          </cell>
          <cell r="Y169">
            <v>10360</v>
          </cell>
          <cell r="Z169" t="str">
            <v>IHCB.AXW</v>
          </cell>
          <cell r="AA169">
            <v>10659</v>
          </cell>
          <cell r="AB169" t="str">
            <v>IHCB.AXW</v>
          </cell>
          <cell r="AC169">
            <v>1595</v>
          </cell>
          <cell r="AD169" t="str">
            <v>IHCB.AXW</v>
          </cell>
          <cell r="AE169">
            <v>1682.9999999999998</v>
          </cell>
          <cell r="AF169" t="str">
            <v>IHCB.AXW</v>
          </cell>
          <cell r="AG169">
            <v>10341</v>
          </cell>
        </row>
        <row r="170">
          <cell r="A170" t="str">
            <v>IHD</v>
          </cell>
          <cell r="B170" t="str">
            <v>IHD.AXW</v>
          </cell>
          <cell r="C170" t="str">
            <v>IHD.AXW</v>
          </cell>
          <cell r="D170">
            <v>324</v>
          </cell>
          <cell r="E170">
            <v>10484307.809999999</v>
          </cell>
          <cell r="F170">
            <v>1405</v>
          </cell>
          <cell r="G170">
            <v>753221</v>
          </cell>
          <cell r="J170" t="str">
            <v>IHD.AXW</v>
          </cell>
          <cell r="K170" t="str">
            <v>IHD</v>
          </cell>
          <cell r="L170">
            <v>2</v>
          </cell>
          <cell r="M170">
            <v>259092589.86000001</v>
          </cell>
          <cell r="N170">
            <v>18286269</v>
          </cell>
          <cell r="O170">
            <v>40521</v>
          </cell>
          <cell r="P170" t="str">
            <v>ETF Units</v>
          </cell>
          <cell r="Q170" t="str">
            <v>Exchange Traded Fund Units Fully Paid</v>
          </cell>
          <cell r="R170" t="str">
            <v>iShares S&amp;P/ASX Dividend Opportunities ETF</v>
          </cell>
          <cell r="S170">
            <v>0</v>
          </cell>
          <cell r="T170">
            <v>69.832700000000003</v>
          </cell>
          <cell r="U170">
            <v>1441</v>
          </cell>
          <cell r="V170">
            <v>1305</v>
          </cell>
          <cell r="X170" t="str">
            <v>IHD.AXW</v>
          </cell>
          <cell r="Y170">
            <v>1358</v>
          </cell>
          <cell r="Z170" t="str">
            <v>IHD.AXW</v>
          </cell>
          <cell r="AA170">
            <v>1397</v>
          </cell>
          <cell r="AB170" t="str">
            <v>IHD.AXW</v>
          </cell>
          <cell r="AC170">
            <v>1516</v>
          </cell>
          <cell r="AD170" t="str">
            <v>IHD.AXW</v>
          </cell>
          <cell r="AE170">
            <v>1591</v>
          </cell>
          <cell r="AF170" t="str">
            <v>IHD.AXW</v>
          </cell>
          <cell r="AG170">
            <v>1405</v>
          </cell>
        </row>
        <row r="171">
          <cell r="A171" t="str">
            <v>IHEB</v>
          </cell>
          <cell r="B171" t="str">
            <v>IHEB.AXW</v>
          </cell>
          <cell r="C171" t="str">
            <v>IHEB.AXW</v>
          </cell>
          <cell r="D171">
            <v>27</v>
          </cell>
          <cell r="E171">
            <v>408192.7</v>
          </cell>
          <cell r="F171">
            <v>10036</v>
          </cell>
          <cell r="G171">
            <v>4055</v>
          </cell>
          <cell r="J171" t="str">
            <v>IHEB.AXW</v>
          </cell>
          <cell r="K171" t="str">
            <v>IHEB</v>
          </cell>
          <cell r="L171">
            <v>2</v>
          </cell>
          <cell r="M171">
            <v>12845137.359999999</v>
          </cell>
          <cell r="N171">
            <v>130196</v>
          </cell>
          <cell r="O171">
            <v>42347</v>
          </cell>
          <cell r="P171" t="str">
            <v>ETF Units</v>
          </cell>
          <cell r="Q171" t="str">
            <v>Exchange Traded Fund Units Fully Paid</v>
          </cell>
          <cell r="R171" t="str">
            <v>ISHARES J.P. MORGAN USD EME MKT BOND ETF</v>
          </cell>
          <cell r="S171">
            <v>0</v>
          </cell>
          <cell r="T171">
            <v>415.97879999999998</v>
          </cell>
          <cell r="U171">
            <v>11004</v>
          </cell>
          <cell r="V171">
            <v>9866</v>
          </cell>
          <cell r="X171" t="str">
            <v>IHEB.AXW</v>
          </cell>
          <cell r="Y171">
            <v>10319</v>
          </cell>
          <cell r="Z171" t="str">
            <v>IHEB.AXW</v>
          </cell>
          <cell r="AA171">
            <v>10839</v>
          </cell>
          <cell r="AB171" t="str">
            <v>IHEB.AXW</v>
          </cell>
          <cell r="AD171" t="str">
            <v>IHEB.AXW</v>
          </cell>
          <cell r="AF171" t="str">
            <v>IHEB.AXW</v>
          </cell>
          <cell r="AG171">
            <v>10036</v>
          </cell>
        </row>
        <row r="172">
          <cell r="A172" t="str">
            <v>IHHY</v>
          </cell>
          <cell r="B172" t="str">
            <v>IHHY.AXW</v>
          </cell>
          <cell r="C172" t="str">
            <v>IHHY.AXW</v>
          </cell>
          <cell r="D172">
            <v>75</v>
          </cell>
          <cell r="E172">
            <v>1029366.3400000001</v>
          </cell>
          <cell r="F172">
            <v>10452</v>
          </cell>
          <cell r="G172">
            <v>9754</v>
          </cell>
          <cell r="J172" t="str">
            <v>IHHY.AXW</v>
          </cell>
          <cell r="K172" t="str">
            <v>IHHY</v>
          </cell>
          <cell r="L172">
            <v>2</v>
          </cell>
          <cell r="M172">
            <v>25038805.649999999</v>
          </cell>
          <cell r="N172">
            <v>250411</v>
          </cell>
          <cell r="O172">
            <v>42347</v>
          </cell>
          <cell r="P172" t="str">
            <v>ETF Units</v>
          </cell>
          <cell r="Q172" t="str">
            <v>Exchange Traded Fund Units Fully Paid</v>
          </cell>
          <cell r="R172" t="str">
            <v>ISHARES GLOBAL HIGH YIELD BOND ETF</v>
          </cell>
          <cell r="S172">
            <v>0</v>
          </cell>
          <cell r="T172">
            <v>503.94290000000001</v>
          </cell>
          <cell r="U172">
            <v>10985</v>
          </cell>
          <cell r="V172">
            <v>10401</v>
          </cell>
          <cell r="X172" t="str">
            <v>IHHY.AXW</v>
          </cell>
          <cell r="Y172">
            <v>10437</v>
          </cell>
          <cell r="Z172" t="str">
            <v>IHHY.AXW</v>
          </cell>
          <cell r="AA172">
            <v>10972</v>
          </cell>
          <cell r="AB172" t="str">
            <v>IHHY.AXW</v>
          </cell>
          <cell r="AC172">
            <v>2990</v>
          </cell>
          <cell r="AD172" t="str">
            <v>IHHY.AXW</v>
          </cell>
          <cell r="AE172">
            <v>1980</v>
          </cell>
          <cell r="AF172" t="str">
            <v>IHHY.AXW</v>
          </cell>
          <cell r="AG172">
            <v>10452</v>
          </cell>
        </row>
        <row r="173">
          <cell r="A173" t="str">
            <v>IHOO</v>
          </cell>
          <cell r="B173" t="str">
            <v>IHOO.AXW</v>
          </cell>
          <cell r="C173" t="str">
            <v>IHOO.AXW</v>
          </cell>
          <cell r="D173">
            <v>99</v>
          </cell>
          <cell r="E173">
            <v>1534122.24</v>
          </cell>
          <cell r="F173">
            <v>11382</v>
          </cell>
          <cell r="G173">
            <v>13368</v>
          </cell>
          <cell r="J173" t="str">
            <v>IHOO.AXW</v>
          </cell>
          <cell r="K173" t="str">
            <v>IHOO</v>
          </cell>
          <cell r="L173">
            <v>2</v>
          </cell>
          <cell r="M173">
            <v>34674242.740000002</v>
          </cell>
          <cell r="N173">
            <v>323786</v>
          </cell>
          <cell r="O173">
            <v>41991</v>
          </cell>
          <cell r="P173" t="str">
            <v>ETF Units</v>
          </cell>
          <cell r="Q173" t="str">
            <v>Exchange Traded Fund Units Fully Paid</v>
          </cell>
          <cell r="R173" t="str">
            <v>iShares Global 100 AUD Hedged ETF</v>
          </cell>
          <cell r="S173">
            <v>0</v>
          </cell>
          <cell r="T173">
            <v>637.06640000000004</v>
          </cell>
          <cell r="U173">
            <v>12000</v>
          </cell>
          <cell r="V173">
            <v>10200</v>
          </cell>
          <cell r="X173" t="str">
            <v>IHOO.AXW</v>
          </cell>
          <cell r="Y173">
            <v>11314</v>
          </cell>
          <cell r="Z173" t="str">
            <v>IHOO.AXW</v>
          </cell>
          <cell r="AA173">
            <v>11543</v>
          </cell>
          <cell r="AB173" t="str">
            <v>IHOO.AXW</v>
          </cell>
          <cell r="AC173">
            <v>9755</v>
          </cell>
          <cell r="AD173" t="str">
            <v>IHOO.AXW</v>
          </cell>
          <cell r="AF173" t="str">
            <v>IHOO.AXW</v>
          </cell>
          <cell r="AG173">
            <v>11382</v>
          </cell>
        </row>
        <row r="174">
          <cell r="A174" t="str">
            <v>IHVV</v>
          </cell>
          <cell r="B174" t="str">
            <v>IHVV.AXW</v>
          </cell>
          <cell r="C174" t="str">
            <v>IHVV.AXW</v>
          </cell>
          <cell r="D174">
            <v>349</v>
          </cell>
          <cell r="E174">
            <v>11835741.342600001</v>
          </cell>
          <cell r="F174">
            <v>34840</v>
          </cell>
          <cell r="G174">
            <v>33511</v>
          </cell>
          <cell r="J174" t="str">
            <v>IHVV.AXW</v>
          </cell>
          <cell r="K174" t="str">
            <v>IHVV</v>
          </cell>
          <cell r="L174">
            <v>2</v>
          </cell>
          <cell r="M174">
            <v>109394701.56999999</v>
          </cell>
          <cell r="N174">
            <v>309547</v>
          </cell>
          <cell r="O174">
            <v>41991</v>
          </cell>
          <cell r="P174" t="str">
            <v>ETF Units</v>
          </cell>
          <cell r="Q174" t="str">
            <v>Exchange Traded Fund Units Fully Paid</v>
          </cell>
          <cell r="R174" t="str">
            <v>iShares S&amp;P 500 AUD Hedged ETF</v>
          </cell>
          <cell r="S174">
            <v>0</v>
          </cell>
          <cell r="T174">
            <v>566.03899999999999</v>
          </cell>
          <cell r="U174">
            <v>36637</v>
          </cell>
          <cell r="V174">
            <v>30449</v>
          </cell>
          <cell r="X174" t="str">
            <v>IHVV.AXW</v>
          </cell>
          <cell r="Y174">
            <v>34370</v>
          </cell>
          <cell r="Z174" t="str">
            <v>IHVV.AXW</v>
          </cell>
          <cell r="AA174">
            <v>31223</v>
          </cell>
          <cell r="AB174" t="str">
            <v>IHVV.AXW</v>
          </cell>
          <cell r="AC174">
            <v>26000</v>
          </cell>
          <cell r="AD174" t="str">
            <v>IHVV.AXW</v>
          </cell>
          <cell r="AE174">
            <v>1850</v>
          </cell>
          <cell r="AF174" t="str">
            <v>IHVV.AXW</v>
          </cell>
          <cell r="AG174">
            <v>34840</v>
          </cell>
        </row>
        <row r="175">
          <cell r="A175" t="str">
            <v>IHWL</v>
          </cell>
          <cell r="B175" t="str">
            <v>IHWL.AXW</v>
          </cell>
          <cell r="C175" t="str">
            <v>IHWL.AXW</v>
          </cell>
          <cell r="D175">
            <v>55</v>
          </cell>
          <cell r="E175">
            <v>1315180.44</v>
          </cell>
          <cell r="F175">
            <v>3339</v>
          </cell>
          <cell r="G175">
            <v>38795</v>
          </cell>
          <cell r="J175" t="str">
            <v>IHWL.AXW</v>
          </cell>
          <cell r="K175" t="str">
            <v>IHWL</v>
          </cell>
          <cell r="L175">
            <v>2</v>
          </cell>
          <cell r="M175">
            <v>11847208.23</v>
          </cell>
          <cell r="N175">
            <v>360207</v>
          </cell>
          <cell r="O175">
            <v>42488</v>
          </cell>
          <cell r="P175" t="str">
            <v>ETF Units</v>
          </cell>
          <cell r="Q175" t="str">
            <v>Exchange Traded Fund Units Fully Paid</v>
          </cell>
          <cell r="R175" t="str">
            <v>Ishares Core Msci World All Cap (Aud Hedged) ETF</v>
          </cell>
          <cell r="S175">
            <v>0</v>
          </cell>
          <cell r="T175">
            <v>50.704700000000003</v>
          </cell>
          <cell r="U175">
            <v>3463</v>
          </cell>
          <cell r="V175">
            <v>2981</v>
          </cell>
          <cell r="X175" t="str">
            <v>IHWL.AXW</v>
          </cell>
          <cell r="Y175">
            <v>3318</v>
          </cell>
          <cell r="Z175" t="str">
            <v>IHWL.AXW</v>
          </cell>
          <cell r="AA175">
            <v>3041</v>
          </cell>
          <cell r="AB175" t="str">
            <v>IHWL.AXW</v>
          </cell>
          <cell r="AC175">
            <v>18953</v>
          </cell>
          <cell r="AD175" t="str">
            <v>IHWL.AXW</v>
          </cell>
          <cell r="AE175">
            <v>11065</v>
          </cell>
          <cell r="AF175" t="str">
            <v>IHWL.AXW</v>
          </cell>
          <cell r="AG175">
            <v>3339</v>
          </cell>
        </row>
        <row r="176">
          <cell r="A176" t="str">
            <v>IJH</v>
          </cell>
          <cell r="B176" t="str">
            <v>IJH.AXW</v>
          </cell>
          <cell r="C176" t="str">
            <v>IJH.AXW</v>
          </cell>
          <cell r="D176">
            <v>283</v>
          </cell>
          <cell r="E176">
            <v>13306204.610000003</v>
          </cell>
          <cell r="F176">
            <v>26351</v>
          </cell>
          <cell r="G176">
            <v>50215</v>
          </cell>
          <cell r="J176" t="str">
            <v>IJH.AXW</v>
          </cell>
          <cell r="K176" t="str">
            <v>IJH</v>
          </cell>
          <cell r="L176">
            <v>2</v>
          </cell>
          <cell r="M176">
            <v>144022787.52000001</v>
          </cell>
          <cell r="N176">
            <v>543684</v>
          </cell>
          <cell r="O176">
            <v>39365</v>
          </cell>
          <cell r="P176" t="str">
            <v>Cdi 1:1</v>
          </cell>
          <cell r="Q176" t="str">
            <v>Chess Depositary Interests 1:1 Ishs&amp;P400</v>
          </cell>
          <cell r="R176" t="str">
            <v>iShares S&amp;P Mid-Cap ETF</v>
          </cell>
          <cell r="S176">
            <v>22408</v>
          </cell>
          <cell r="T176">
            <v>294.52119999999996</v>
          </cell>
          <cell r="U176">
            <v>27380</v>
          </cell>
          <cell r="V176">
            <v>21066</v>
          </cell>
          <cell r="X176" t="str">
            <v>IJH.AXW</v>
          </cell>
          <cell r="Y176">
            <v>25892</v>
          </cell>
          <cell r="Z176" t="str">
            <v>IJH.AXW</v>
          </cell>
          <cell r="AA176">
            <v>22600</v>
          </cell>
          <cell r="AB176" t="str">
            <v>IJH.AXW</v>
          </cell>
          <cell r="AC176">
            <v>19634</v>
          </cell>
          <cell r="AD176" t="str">
            <v>IJH.AXW</v>
          </cell>
          <cell r="AE176">
            <v>12572</v>
          </cell>
          <cell r="AF176" t="str">
            <v>IJH.AXW</v>
          </cell>
          <cell r="AG176">
            <v>26351</v>
          </cell>
        </row>
        <row r="177">
          <cell r="A177" t="str">
            <v>IJP</v>
          </cell>
          <cell r="B177" t="str">
            <v>IJP.AXW</v>
          </cell>
          <cell r="C177" t="str">
            <v>IJP.AXW</v>
          </cell>
          <cell r="D177">
            <v>666</v>
          </cell>
          <cell r="E177">
            <v>15619548.884999998</v>
          </cell>
          <cell r="F177">
            <v>7872</v>
          </cell>
          <cell r="G177">
            <v>196162</v>
          </cell>
          <cell r="J177" t="str">
            <v>IJP.AXW</v>
          </cell>
          <cell r="K177" t="str">
            <v>IJP</v>
          </cell>
          <cell r="L177">
            <v>2</v>
          </cell>
          <cell r="M177">
            <v>255604448.44</v>
          </cell>
          <cell r="N177">
            <v>3337248</v>
          </cell>
          <cell r="O177">
            <v>39365</v>
          </cell>
          <cell r="P177" t="str">
            <v>Cdi 1:1</v>
          </cell>
          <cell r="Q177" t="str">
            <v>Chess Depositary Interests 1:1 Ishmscijp</v>
          </cell>
          <cell r="R177" t="str">
            <v>iShares MSCI Japan ETF</v>
          </cell>
          <cell r="S177">
            <v>6129</v>
          </cell>
          <cell r="T177">
            <v>95.267600000000002</v>
          </cell>
          <cell r="U177">
            <v>8248</v>
          </cell>
          <cell r="V177">
            <v>6765</v>
          </cell>
          <cell r="X177" t="str">
            <v>IJP.AXW</v>
          </cell>
          <cell r="Y177">
            <v>7959.9999999999991</v>
          </cell>
          <cell r="Z177" t="str">
            <v>IJP.AXW</v>
          </cell>
          <cell r="AA177">
            <v>6962</v>
          </cell>
          <cell r="AB177" t="str">
            <v>IJP.AXW</v>
          </cell>
          <cell r="AC177">
            <v>6684</v>
          </cell>
          <cell r="AD177" t="str">
            <v>IJP.AXW</v>
          </cell>
          <cell r="AE177">
            <v>4840</v>
          </cell>
          <cell r="AF177" t="str">
            <v>IJP.AXW</v>
          </cell>
          <cell r="AG177">
            <v>7872</v>
          </cell>
        </row>
        <row r="178">
          <cell r="A178" t="str">
            <v>IJR</v>
          </cell>
          <cell r="B178" t="str">
            <v>IJR.AXW</v>
          </cell>
          <cell r="C178" t="str">
            <v>IJR.AXW</v>
          </cell>
          <cell r="D178">
            <v>753</v>
          </cell>
          <cell r="E178">
            <v>32951642.569999993</v>
          </cell>
          <cell r="F178">
            <v>11427</v>
          </cell>
          <cell r="G178">
            <v>290511</v>
          </cell>
          <cell r="J178" t="str">
            <v>IJR.AXW</v>
          </cell>
          <cell r="K178" t="str">
            <v>IJR</v>
          </cell>
          <cell r="L178">
            <v>2</v>
          </cell>
          <cell r="M178">
            <v>134873724.5</v>
          </cell>
          <cell r="N178">
            <v>1449514</v>
          </cell>
          <cell r="O178">
            <v>39365</v>
          </cell>
          <cell r="P178" t="str">
            <v>Cdi 1:1</v>
          </cell>
          <cell r="Q178" t="str">
            <v>Chess Depositary Interests 1:1 Ishs&amp;P600</v>
          </cell>
          <cell r="R178" t="str">
            <v>iShares S&amp;P Small-Cap ETF</v>
          </cell>
          <cell r="S178">
            <v>9057</v>
          </cell>
          <cell r="T178">
            <v>107.1191</v>
          </cell>
          <cell r="U178">
            <v>11864</v>
          </cell>
          <cell r="V178">
            <v>8440</v>
          </cell>
          <cell r="X178" t="str">
            <v>IJR.AXW</v>
          </cell>
          <cell r="Y178">
            <v>11118</v>
          </cell>
          <cell r="Z178" t="str">
            <v>IJR.AXW</v>
          </cell>
          <cell r="AA178">
            <v>9174</v>
          </cell>
          <cell r="AB178" t="str">
            <v>IJR.AXW</v>
          </cell>
          <cell r="AC178">
            <v>7700</v>
          </cell>
          <cell r="AD178" t="str">
            <v>IJR.AXW</v>
          </cell>
          <cell r="AE178">
            <v>4928</v>
          </cell>
          <cell r="AF178" t="str">
            <v>IJR.AXW</v>
          </cell>
          <cell r="AG178">
            <v>11427</v>
          </cell>
        </row>
        <row r="179">
          <cell r="A179" t="str">
            <v>IKO</v>
          </cell>
          <cell r="B179" t="str">
            <v>IKO.AXW</v>
          </cell>
          <cell r="C179" t="str">
            <v>IKO.AXW</v>
          </cell>
          <cell r="D179">
            <v>433</v>
          </cell>
          <cell r="E179">
            <v>3091776.67</v>
          </cell>
          <cell r="F179">
            <v>9181</v>
          </cell>
          <cell r="G179">
            <v>32910</v>
          </cell>
          <cell r="J179" t="str">
            <v>IKO.AXW</v>
          </cell>
          <cell r="K179" t="str">
            <v>IKO</v>
          </cell>
          <cell r="L179">
            <v>2</v>
          </cell>
          <cell r="M179">
            <v>39936819.119999997</v>
          </cell>
          <cell r="N179">
            <v>455672</v>
          </cell>
          <cell r="O179">
            <v>39401</v>
          </cell>
          <cell r="P179" t="str">
            <v>Cdi 1:1</v>
          </cell>
          <cell r="Q179" t="str">
            <v>Chess Depositary Interests 1:1 Ishmsciko</v>
          </cell>
          <cell r="R179" t="str">
            <v>iShares MSCI South Korea ETF</v>
          </cell>
          <cell r="S179">
            <v>5307</v>
          </cell>
          <cell r="T179">
            <v>232.85579999999999</v>
          </cell>
          <cell r="U179">
            <v>10210</v>
          </cell>
          <cell r="V179">
            <v>8320</v>
          </cell>
          <cell r="X179" t="str">
            <v>IKO.AXW</v>
          </cell>
          <cell r="Y179">
            <v>9612</v>
          </cell>
          <cell r="Z179" t="str">
            <v>IKO.AXW</v>
          </cell>
          <cell r="AA179">
            <v>8824</v>
          </cell>
          <cell r="AB179" t="str">
            <v>IKO.AXW</v>
          </cell>
          <cell r="AC179">
            <v>7195.9999999999991</v>
          </cell>
          <cell r="AD179" t="str">
            <v>IKO.AXW</v>
          </cell>
          <cell r="AE179">
            <v>5751</v>
          </cell>
          <cell r="AF179" t="str">
            <v>IKO.AXW</v>
          </cell>
          <cell r="AG179">
            <v>9181</v>
          </cell>
        </row>
        <row r="180">
          <cell r="A180" t="str">
            <v>ILB</v>
          </cell>
          <cell r="B180" t="str">
            <v>ILB.AXW</v>
          </cell>
          <cell r="C180" t="str">
            <v>ILB.AXW</v>
          </cell>
          <cell r="D180">
            <v>397</v>
          </cell>
          <cell r="E180">
            <v>4609628.665</v>
          </cell>
          <cell r="F180">
            <v>11790</v>
          </cell>
          <cell r="G180">
            <v>39462</v>
          </cell>
          <cell r="J180" t="str">
            <v>ILB.AXW</v>
          </cell>
          <cell r="K180" t="str">
            <v>ILB</v>
          </cell>
          <cell r="L180">
            <v>2</v>
          </cell>
          <cell r="M180">
            <v>116857534.48</v>
          </cell>
          <cell r="N180">
            <v>993011</v>
          </cell>
          <cell r="O180">
            <v>40982</v>
          </cell>
          <cell r="P180" t="str">
            <v>ETF Units</v>
          </cell>
          <cell r="Q180" t="str">
            <v>Exchange Traded Fund Units Fully Paid</v>
          </cell>
          <cell r="R180" t="str">
            <v>iShares Government Inflation ETF</v>
          </cell>
          <cell r="S180">
            <v>0</v>
          </cell>
          <cell r="T180">
            <v>103.0085</v>
          </cell>
          <cell r="U180">
            <v>11846</v>
          </cell>
          <cell r="V180">
            <v>11260</v>
          </cell>
          <cell r="X180" t="str">
            <v>ILB.AXW</v>
          </cell>
          <cell r="Y180">
            <v>11679</v>
          </cell>
          <cell r="Z180" t="str">
            <v>ILB.AXW</v>
          </cell>
          <cell r="AA180">
            <v>11456</v>
          </cell>
          <cell r="AB180" t="str">
            <v>ILB.AXW</v>
          </cell>
          <cell r="AC180">
            <v>11380</v>
          </cell>
          <cell r="AD180" t="str">
            <v>ILB.AXW</v>
          </cell>
          <cell r="AE180">
            <v>10090</v>
          </cell>
          <cell r="AF180" t="str">
            <v>ILB.AXW</v>
          </cell>
          <cell r="AG180">
            <v>11790</v>
          </cell>
        </row>
        <row r="181">
          <cell r="A181" t="str">
            <v>ILC</v>
          </cell>
          <cell r="B181" t="str">
            <v>ILC.AXW</v>
          </cell>
          <cell r="C181" t="str">
            <v>ILC.AXW</v>
          </cell>
          <cell r="D181">
            <v>330</v>
          </cell>
          <cell r="E181">
            <v>8273414.5499999989</v>
          </cell>
          <cell r="F181">
            <v>2458</v>
          </cell>
          <cell r="G181">
            <v>345856</v>
          </cell>
          <cell r="J181" t="str">
            <v>ILC.AXW</v>
          </cell>
          <cell r="K181" t="str">
            <v>ILC</v>
          </cell>
          <cell r="L181">
            <v>2</v>
          </cell>
          <cell r="M181">
            <v>319889927.51999998</v>
          </cell>
          <cell r="N181">
            <v>12992399</v>
          </cell>
          <cell r="O181">
            <v>40521</v>
          </cell>
          <cell r="P181" t="str">
            <v>Ishlgecap</v>
          </cell>
          <cell r="Q181" t="str">
            <v>Exchange Traded Fund Units Fully Paid</v>
          </cell>
          <cell r="R181" t="str">
            <v>iShares S&amp;P/ASX 20 ETF</v>
          </cell>
          <cell r="S181">
            <v>0</v>
          </cell>
          <cell r="T181">
            <v>110.6003</v>
          </cell>
          <cell r="U181">
            <v>2468</v>
          </cell>
          <cell r="V181">
            <v>2244</v>
          </cell>
          <cell r="X181" t="str">
            <v>ILC.AXW</v>
          </cell>
          <cell r="Y181">
            <v>2346</v>
          </cell>
          <cell r="Z181" t="str">
            <v>ILC.AXW</v>
          </cell>
          <cell r="AA181">
            <v>2322</v>
          </cell>
          <cell r="AB181" t="str">
            <v>ILC.AXW</v>
          </cell>
          <cell r="AC181">
            <v>2468</v>
          </cell>
          <cell r="AD181" t="str">
            <v>ILC.AXW</v>
          </cell>
          <cell r="AE181">
            <v>2210</v>
          </cell>
          <cell r="AF181" t="str">
            <v>ILC.AXW</v>
          </cell>
          <cell r="AG181">
            <v>2458</v>
          </cell>
        </row>
        <row r="182">
          <cell r="A182" t="str">
            <v>INA</v>
          </cell>
          <cell r="B182" t="str">
            <v>INA.ASX</v>
          </cell>
          <cell r="C182" t="str">
            <v>INA.ASX</v>
          </cell>
          <cell r="D182">
            <v>12578</v>
          </cell>
          <cell r="E182">
            <v>65057133.924799986</v>
          </cell>
          <cell r="F182">
            <v>308</v>
          </cell>
          <cell r="G182">
            <v>22196857</v>
          </cell>
          <cell r="J182" t="str">
            <v>INA.ASX</v>
          </cell>
          <cell r="K182" t="str">
            <v>INA</v>
          </cell>
          <cell r="L182">
            <v>2</v>
          </cell>
          <cell r="M182">
            <v>630560850</v>
          </cell>
          <cell r="N182">
            <v>208091633</v>
          </cell>
          <cell r="O182">
            <v>38169</v>
          </cell>
          <cell r="P182" t="str">
            <v>Stapled</v>
          </cell>
          <cell r="Q182" t="str">
            <v>Units Fully Paid Stapled Securities</v>
          </cell>
          <cell r="R182" t="str">
            <v>Ingenia Communities Group</v>
          </cell>
          <cell r="S182">
            <v>253</v>
          </cell>
          <cell r="T182">
            <v>10.199999999999999</v>
          </cell>
          <cell r="U182">
            <v>314</v>
          </cell>
          <cell r="V182">
            <v>249</v>
          </cell>
          <cell r="X182" t="str">
            <v>INA.ASX</v>
          </cell>
          <cell r="Y182">
            <v>268</v>
          </cell>
          <cell r="Z182" t="str">
            <v>INA.ASX</v>
          </cell>
          <cell r="AA182">
            <v>260</v>
          </cell>
          <cell r="AB182" t="str">
            <v>INA.ASX</v>
          </cell>
          <cell r="AC182">
            <v>256.89060044288635</v>
          </cell>
          <cell r="AD182" t="str">
            <v>INA.ASX</v>
          </cell>
          <cell r="AE182">
            <v>195.59598046129935</v>
          </cell>
          <cell r="AF182" t="str">
            <v>INA.ASX</v>
          </cell>
          <cell r="AG182">
            <v>308</v>
          </cell>
        </row>
        <row r="183">
          <cell r="A183" t="str">
            <v>INA</v>
          </cell>
          <cell r="B183" t="str">
            <v>INA.ASX</v>
          </cell>
          <cell r="C183" t="str">
            <v>INA.ASX</v>
          </cell>
          <cell r="D183">
            <v>12578</v>
          </cell>
          <cell r="E183">
            <v>65057133.924799986</v>
          </cell>
          <cell r="F183">
            <v>308</v>
          </cell>
          <cell r="G183">
            <v>22196857</v>
          </cell>
          <cell r="J183" t="str">
            <v>INA.ASX</v>
          </cell>
          <cell r="K183" t="str">
            <v>INA</v>
          </cell>
          <cell r="L183">
            <v>2</v>
          </cell>
          <cell r="M183">
            <v>630560850</v>
          </cell>
          <cell r="N183">
            <v>208091633</v>
          </cell>
          <cell r="O183">
            <v>38169</v>
          </cell>
          <cell r="P183" t="str">
            <v>Stapled</v>
          </cell>
          <cell r="Q183" t="str">
            <v>Units Fully Paid Stapled Securities</v>
          </cell>
          <cell r="R183" t="str">
            <v>Ingenia Communities Group</v>
          </cell>
          <cell r="S183">
            <v>253</v>
          </cell>
          <cell r="T183">
            <v>10.199999999999999</v>
          </cell>
          <cell r="U183">
            <v>314</v>
          </cell>
          <cell r="V183">
            <v>249</v>
          </cell>
          <cell r="X183" t="str">
            <v>INA.ASX</v>
          </cell>
          <cell r="Y183">
            <v>268</v>
          </cell>
          <cell r="Z183" t="str">
            <v>INA.ASX</v>
          </cell>
          <cell r="AA183">
            <v>260</v>
          </cell>
          <cell r="AB183" t="str">
            <v>INA.ASX</v>
          </cell>
          <cell r="AC183">
            <v>256.89060044288635</v>
          </cell>
          <cell r="AD183" t="str">
            <v>INA.ASX</v>
          </cell>
          <cell r="AE183">
            <v>195.59598046129935</v>
          </cell>
          <cell r="AF183" t="str">
            <v>INA.ASX</v>
          </cell>
          <cell r="AG183">
            <v>308</v>
          </cell>
        </row>
        <row r="184">
          <cell r="A184" t="str">
            <v>IOF</v>
          </cell>
          <cell r="B184" t="str">
            <v>IOF.ASX</v>
          </cell>
          <cell r="C184" t="str">
            <v>IOF.ASX</v>
          </cell>
          <cell r="D184">
            <v>59733</v>
          </cell>
          <cell r="E184">
            <v>496053392.06060004</v>
          </cell>
          <cell r="F184">
            <v>523</v>
          </cell>
          <cell r="G184">
            <v>96228110</v>
          </cell>
          <cell r="J184" t="str">
            <v>IOF.ASX</v>
          </cell>
          <cell r="K184" t="str">
            <v>IOF</v>
          </cell>
          <cell r="L184">
            <v>2</v>
          </cell>
          <cell r="M184">
            <v>2596313525.4000001</v>
          </cell>
          <cell r="N184">
            <v>598418985</v>
          </cell>
          <cell r="O184">
            <v>36530</v>
          </cell>
          <cell r="P184" t="str">
            <v>Stapled</v>
          </cell>
          <cell r="Q184" t="str">
            <v>Stapled Securities</v>
          </cell>
          <cell r="R184" t="str">
            <v>Investa Office Fund</v>
          </cell>
          <cell r="S184">
            <v>495</v>
          </cell>
          <cell r="T184">
            <v>20.3</v>
          </cell>
          <cell r="U184">
            <v>539</v>
          </cell>
          <cell r="V184">
            <v>413</v>
          </cell>
          <cell r="X184" t="str">
            <v>IOF.ASX</v>
          </cell>
          <cell r="Y184">
            <v>507</v>
          </cell>
          <cell r="Z184" t="str">
            <v>IOF.ASX</v>
          </cell>
          <cell r="AA184">
            <v>438.99999999999994</v>
          </cell>
          <cell r="AB184" t="str">
            <v>IOF.ASX</v>
          </cell>
          <cell r="AC184">
            <v>380</v>
          </cell>
          <cell r="AD184" t="str">
            <v>IOF.ASX</v>
          </cell>
          <cell r="AE184">
            <v>291</v>
          </cell>
          <cell r="AF184" t="str">
            <v>IOF.ASX</v>
          </cell>
          <cell r="AG184">
            <v>523</v>
          </cell>
        </row>
        <row r="185">
          <cell r="A185" t="str">
            <v>IOO</v>
          </cell>
          <cell r="B185" t="str">
            <v>IOO.AXW</v>
          </cell>
          <cell r="C185" t="str">
            <v>IOO.AXW</v>
          </cell>
          <cell r="D185">
            <v>2026</v>
          </cell>
          <cell r="E185">
            <v>32966611.679999992</v>
          </cell>
          <cell r="F185">
            <v>6190</v>
          </cell>
          <cell r="G185">
            <v>528184</v>
          </cell>
          <cell r="J185" t="str">
            <v>IOO.AXW</v>
          </cell>
          <cell r="K185" t="str">
            <v>IOO</v>
          </cell>
          <cell r="L185">
            <v>2</v>
          </cell>
          <cell r="M185">
            <v>1409229239.5999999</v>
          </cell>
          <cell r="N185">
            <v>22685052</v>
          </cell>
          <cell r="O185">
            <v>39365</v>
          </cell>
          <cell r="P185" t="str">
            <v>Cdi 1:1</v>
          </cell>
          <cell r="Q185" t="str">
            <v>Chess Depositary Interests 1:1 Ishglb100</v>
          </cell>
          <cell r="R185" t="str">
            <v>iShares Global 100 ETF</v>
          </cell>
          <cell r="S185">
            <v>5351</v>
          </cell>
          <cell r="T185">
            <v>116.01065</v>
          </cell>
          <cell r="U185">
            <v>7248</v>
          </cell>
          <cell r="V185">
            <v>5348.5</v>
          </cell>
          <cell r="X185" t="str">
            <v>IOO.AXW</v>
          </cell>
          <cell r="Y185">
            <v>6142</v>
          </cell>
          <cell r="Z185" t="str">
            <v>IOO.AXW</v>
          </cell>
          <cell r="AA185">
            <v>5483</v>
          </cell>
          <cell r="AB185" t="str">
            <v>IOO.AXW</v>
          </cell>
          <cell r="AC185">
            <v>4915</v>
          </cell>
          <cell r="AD185" t="str">
            <v>IOO.AXW</v>
          </cell>
          <cell r="AE185">
            <v>3700</v>
          </cell>
          <cell r="AF185" t="str">
            <v>IOO.AXW</v>
          </cell>
          <cell r="AG185">
            <v>6190</v>
          </cell>
        </row>
        <row r="186">
          <cell r="A186" t="str">
            <v>IOZ</v>
          </cell>
          <cell r="B186" t="str">
            <v>IOZ.AXW</v>
          </cell>
          <cell r="C186" t="str">
            <v>IOZ.AXW</v>
          </cell>
          <cell r="D186">
            <v>2015</v>
          </cell>
          <cell r="E186">
            <v>63104375.450000018</v>
          </cell>
          <cell r="F186">
            <v>2569</v>
          </cell>
          <cell r="G186">
            <v>2492035</v>
          </cell>
          <cell r="J186" t="str">
            <v>IOZ.AXW</v>
          </cell>
          <cell r="K186" t="str">
            <v>IOZ</v>
          </cell>
          <cell r="L186">
            <v>2</v>
          </cell>
          <cell r="M186">
            <v>1143284612.6400001</v>
          </cell>
          <cell r="N186">
            <v>45311952</v>
          </cell>
          <cell r="O186">
            <v>40521</v>
          </cell>
          <cell r="P186" t="str">
            <v>ETF Units</v>
          </cell>
          <cell r="Q186" t="str">
            <v>Exchange Traded Fund Units Fully Paid</v>
          </cell>
          <cell r="R186" t="str">
            <v>iShares Core S&amp;P/ASX 200 ETF</v>
          </cell>
          <cell r="S186">
            <v>0</v>
          </cell>
          <cell r="T186">
            <v>94.318699999999993</v>
          </cell>
          <cell r="U186">
            <v>2591</v>
          </cell>
          <cell r="V186">
            <v>2318</v>
          </cell>
          <cell r="X186" t="str">
            <v>IOZ.AXW</v>
          </cell>
          <cell r="Y186">
            <v>2477</v>
          </cell>
          <cell r="Z186" t="str">
            <v>IOZ.AXW</v>
          </cell>
          <cell r="AA186">
            <v>2368</v>
          </cell>
          <cell r="AB186" t="str">
            <v>IOZ.AXW</v>
          </cell>
          <cell r="AC186">
            <v>2379</v>
          </cell>
          <cell r="AD186" t="str">
            <v>IOZ.AXW</v>
          </cell>
          <cell r="AE186">
            <v>2099</v>
          </cell>
          <cell r="AF186" t="str">
            <v>IOZ.AXW</v>
          </cell>
          <cell r="AG186">
            <v>2569</v>
          </cell>
        </row>
        <row r="187">
          <cell r="A187" t="str">
            <v>IPE</v>
          </cell>
          <cell r="B187" t="str">
            <v>IPE.ASX</v>
          </cell>
          <cell r="C187" t="str">
            <v>IPE.ASX</v>
          </cell>
          <cell r="D187">
            <v>140</v>
          </cell>
          <cell r="E187">
            <v>737083.91099999996</v>
          </cell>
          <cell r="F187">
            <v>7.6</v>
          </cell>
          <cell r="G187">
            <v>9800373</v>
          </cell>
          <cell r="J187" t="str">
            <v>IPE.ASX</v>
          </cell>
          <cell r="K187" t="str">
            <v>IPE</v>
          </cell>
          <cell r="L187">
            <v>2</v>
          </cell>
          <cell r="M187">
            <v>10308799.524</v>
          </cell>
          <cell r="N187">
            <v>135642099</v>
          </cell>
          <cell r="O187">
            <v>38650</v>
          </cell>
          <cell r="P187" t="str">
            <v>Fpo</v>
          </cell>
          <cell r="Q187" t="str">
            <v>Ordinary Fully Paid</v>
          </cell>
          <cell r="R187" t="str">
            <v>IPE Limited</v>
          </cell>
          <cell r="S187">
            <v>7</v>
          </cell>
          <cell r="T187">
            <v>3.75</v>
          </cell>
          <cell r="U187">
            <v>10.75059986114502</v>
          </cell>
          <cell r="V187">
            <v>5.8</v>
          </cell>
          <cell r="X187" t="str">
            <v>IPE.ASX</v>
          </cell>
          <cell r="Y187">
            <v>6.1</v>
          </cell>
          <cell r="Z187" t="str">
            <v>IPE.ASX</v>
          </cell>
          <cell r="AA187">
            <v>8.4468998908996582</v>
          </cell>
          <cell r="AB187" t="str">
            <v>IPE.ASX</v>
          </cell>
          <cell r="AC187">
            <v>12.67491839041146</v>
          </cell>
          <cell r="AD187" t="str">
            <v>IPE.ASX</v>
          </cell>
          <cell r="AE187">
            <v>14.21609600884867</v>
          </cell>
          <cell r="AF187" t="str">
            <v>IPE.ASX</v>
          </cell>
          <cell r="AG187">
            <v>7.6</v>
          </cell>
        </row>
        <row r="188">
          <cell r="A188" t="str">
            <v>ISEC</v>
          </cell>
          <cell r="B188" t="str">
            <v>ISEC.AXW</v>
          </cell>
          <cell r="C188" t="str">
            <v>ISEC.AXW</v>
          </cell>
          <cell r="D188">
            <v>309</v>
          </cell>
          <cell r="E188">
            <v>9465520.4999999981</v>
          </cell>
          <cell r="F188">
            <v>10037</v>
          </cell>
          <cell r="G188">
            <v>94403</v>
          </cell>
          <cell r="J188" t="str">
            <v>ISEC.AXW</v>
          </cell>
          <cell r="K188" t="str">
            <v>ISEC</v>
          </cell>
          <cell r="L188">
            <v>2</v>
          </cell>
          <cell r="M188">
            <v>29070502.16</v>
          </cell>
          <cell r="N188">
            <v>360011</v>
          </cell>
          <cell r="O188">
            <v>42892</v>
          </cell>
          <cell r="P188" t="str">
            <v>ETF Units</v>
          </cell>
          <cell r="Q188" t="str">
            <v>Exchange Traded Fund Units Fully Paid</v>
          </cell>
          <cell r="R188" t="str">
            <v>Ishares Enhanced Cash ETF</v>
          </cell>
          <cell r="S188">
            <v>0</v>
          </cell>
          <cell r="T188">
            <v>168.52170000000001</v>
          </cell>
          <cell r="U188">
            <v>10038</v>
          </cell>
          <cell r="V188">
            <v>10005</v>
          </cell>
          <cell r="X188" t="str">
            <v>ISEC.AXW</v>
          </cell>
          <cell r="Y188">
            <v>10038</v>
          </cell>
          <cell r="Z188" t="str">
            <v>ISEC.AXW</v>
          </cell>
          <cell r="AA188">
            <v>10014</v>
          </cell>
          <cell r="AB188" t="str">
            <v>ISEC.AXW</v>
          </cell>
          <cell r="AC188">
            <v>3415.9999999999995</v>
          </cell>
          <cell r="AD188" t="str">
            <v>ISEC.AXW</v>
          </cell>
          <cell r="AE188">
            <v>2778</v>
          </cell>
          <cell r="AF188" t="str">
            <v>ISEC.AXW</v>
          </cell>
          <cell r="AG188">
            <v>10037</v>
          </cell>
        </row>
        <row r="189">
          <cell r="A189" t="str">
            <v>ISO</v>
          </cell>
          <cell r="B189" t="str">
            <v>ISO.AXW</v>
          </cell>
          <cell r="C189" t="str">
            <v>ISO.AXW</v>
          </cell>
          <cell r="D189">
            <v>273</v>
          </cell>
          <cell r="E189">
            <v>6823562.8250000002</v>
          </cell>
          <cell r="F189">
            <v>524</v>
          </cell>
          <cell r="G189">
            <v>1309166</v>
          </cell>
          <cell r="J189" t="str">
            <v>ISO.AXW</v>
          </cell>
          <cell r="K189" t="str">
            <v>ISO</v>
          </cell>
          <cell r="L189">
            <v>2</v>
          </cell>
          <cell r="M189">
            <v>101725425.34</v>
          </cell>
          <cell r="N189">
            <v>20238113</v>
          </cell>
          <cell r="O189">
            <v>40521</v>
          </cell>
          <cell r="P189" t="str">
            <v>Ishsmlord</v>
          </cell>
          <cell r="Q189" t="str">
            <v>Exchange Traded Fund Units Fully Paid</v>
          </cell>
          <cell r="R189" t="str">
            <v>iShares S&amp;P/ASX Small Ordinaries ETF</v>
          </cell>
          <cell r="S189">
            <v>0</v>
          </cell>
          <cell r="T189">
            <v>9.0821000000000005</v>
          </cell>
          <cell r="U189">
            <v>533</v>
          </cell>
          <cell r="V189">
            <v>423</v>
          </cell>
          <cell r="X189" t="str">
            <v>ISO.AXW</v>
          </cell>
          <cell r="Y189">
            <v>511.00000000000006</v>
          </cell>
          <cell r="Z189" t="str">
            <v>ISO.AXW</v>
          </cell>
          <cell r="AA189">
            <v>434</v>
          </cell>
          <cell r="AB189" t="str">
            <v>ISO.AXW</v>
          </cell>
          <cell r="AC189">
            <v>378</v>
          </cell>
          <cell r="AD189" t="str">
            <v>ISO.AXW</v>
          </cell>
          <cell r="AE189">
            <v>358</v>
          </cell>
          <cell r="AF189" t="str">
            <v>ISO.AXW</v>
          </cell>
          <cell r="AG189">
            <v>524</v>
          </cell>
        </row>
        <row r="190">
          <cell r="A190" t="str">
            <v>ITW</v>
          </cell>
          <cell r="B190" t="str">
            <v>ITW.AXW</v>
          </cell>
          <cell r="C190" t="str">
            <v>ITW.AXW</v>
          </cell>
          <cell r="D190">
            <v>34</v>
          </cell>
          <cell r="E190">
            <v>490812.87</v>
          </cell>
          <cell r="F190">
            <v>4865</v>
          </cell>
          <cell r="G190">
            <v>10034</v>
          </cell>
          <cell r="J190" t="str">
            <v>ITW.AXW</v>
          </cell>
          <cell r="K190" t="str">
            <v>ITW</v>
          </cell>
          <cell r="L190">
            <v>2</v>
          </cell>
          <cell r="M190">
            <v>47639528.399999999</v>
          </cell>
          <cell r="N190">
            <v>983272</v>
          </cell>
          <cell r="O190">
            <v>39401</v>
          </cell>
          <cell r="P190" t="str">
            <v>Cdi 1:1</v>
          </cell>
          <cell r="Q190" t="str">
            <v>Chess Depositary Interests 1:1 Ishmscit</v>
          </cell>
          <cell r="R190" t="str">
            <v>iShares MSCI Taiwan ETF</v>
          </cell>
          <cell r="S190">
            <v>3599</v>
          </cell>
          <cell r="T190">
            <v>109.0219</v>
          </cell>
          <cell r="U190">
            <v>5499</v>
          </cell>
          <cell r="V190">
            <v>4516</v>
          </cell>
          <cell r="X190" t="str">
            <v>ITW.AXW</v>
          </cell>
          <cell r="Y190">
            <v>4835</v>
          </cell>
          <cell r="Z190" t="str">
            <v>ITW.AXW</v>
          </cell>
          <cell r="AA190">
            <v>4670</v>
          </cell>
          <cell r="AB190" t="str">
            <v>ITW.AXW</v>
          </cell>
          <cell r="AC190">
            <v>4102</v>
          </cell>
          <cell r="AD190" t="str">
            <v>ITW.AXW</v>
          </cell>
          <cell r="AE190">
            <v>2830</v>
          </cell>
          <cell r="AF190" t="str">
            <v>ITW.AXW</v>
          </cell>
          <cell r="AG190">
            <v>4865</v>
          </cell>
        </row>
        <row r="191">
          <cell r="A191" t="str">
            <v>IVE</v>
          </cell>
          <cell r="B191" t="str">
            <v>IVE.AXW</v>
          </cell>
          <cell r="C191" t="str">
            <v>IVE.AXW</v>
          </cell>
          <cell r="D191">
            <v>546</v>
          </cell>
          <cell r="E191">
            <v>22677465.195000004</v>
          </cell>
          <cell r="F191">
            <v>9099</v>
          </cell>
          <cell r="G191">
            <v>246985</v>
          </cell>
          <cell r="J191" t="str">
            <v>IVE.AXW</v>
          </cell>
          <cell r="K191" t="str">
            <v>IVE</v>
          </cell>
          <cell r="L191">
            <v>2</v>
          </cell>
          <cell r="M191">
            <v>319791770.19999999</v>
          </cell>
          <cell r="N191">
            <v>3633455</v>
          </cell>
          <cell r="O191">
            <v>39365</v>
          </cell>
          <cell r="P191" t="str">
            <v>Cdi 1:1</v>
          </cell>
          <cell r="Q191" t="str">
            <v>Chess Depositary Interests 1:1 Isheafe</v>
          </cell>
          <cell r="R191" t="str">
            <v>iShares MSCI EAFE ETF</v>
          </cell>
          <cell r="S191">
            <v>7734</v>
          </cell>
          <cell r="T191">
            <v>233.8852</v>
          </cell>
          <cell r="U191">
            <v>9571</v>
          </cell>
          <cell r="V191">
            <v>8300</v>
          </cell>
          <cell r="X191" t="str">
            <v>IVE.AXW</v>
          </cell>
          <cell r="Y191">
            <v>9174</v>
          </cell>
          <cell r="Z191" t="str">
            <v>IVE.AXW</v>
          </cell>
          <cell r="AA191">
            <v>8500</v>
          </cell>
          <cell r="AB191" t="str">
            <v>IVE.AXW</v>
          </cell>
          <cell r="AC191">
            <v>8308</v>
          </cell>
          <cell r="AD191" t="str">
            <v>IVE.AXW</v>
          </cell>
          <cell r="AE191">
            <v>6267</v>
          </cell>
          <cell r="AF191" t="str">
            <v>IVE.AXW</v>
          </cell>
          <cell r="AG191">
            <v>9099</v>
          </cell>
        </row>
        <row r="192">
          <cell r="A192" t="str">
            <v>IVV</v>
          </cell>
          <cell r="B192" t="str">
            <v>IVV.AXW</v>
          </cell>
          <cell r="C192" t="str">
            <v>IVV.AXW</v>
          </cell>
          <cell r="D192">
            <v>2642</v>
          </cell>
          <cell r="E192">
            <v>94371426.999999985</v>
          </cell>
          <cell r="F192">
            <v>37047</v>
          </cell>
          <cell r="G192">
            <v>254735</v>
          </cell>
          <cell r="J192" t="str">
            <v>IVV.AXW</v>
          </cell>
          <cell r="K192" t="str">
            <v>IVV</v>
          </cell>
          <cell r="L192">
            <v>2</v>
          </cell>
          <cell r="M192">
            <v>2721432113.4000001</v>
          </cell>
          <cell r="N192">
            <v>7393533</v>
          </cell>
          <cell r="O192">
            <v>39365</v>
          </cell>
          <cell r="P192" t="str">
            <v>Cdi 1:1</v>
          </cell>
          <cell r="Q192" t="str">
            <v>Chess Depositary Interests 1:1 iShS&amp;P500</v>
          </cell>
          <cell r="R192" t="str">
            <v>iShares S&amp;P 500 ETF</v>
          </cell>
          <cell r="S192">
            <v>31032</v>
          </cell>
          <cell r="T192">
            <v>555.20080000000007</v>
          </cell>
          <cell r="U192">
            <v>38124</v>
          </cell>
          <cell r="V192">
            <v>30579</v>
          </cell>
          <cell r="X192" t="str">
            <v>IVV.AXW</v>
          </cell>
          <cell r="Y192">
            <v>36200</v>
          </cell>
          <cell r="Z192" t="str">
            <v>IVV.AXW</v>
          </cell>
          <cell r="AA192">
            <v>31800</v>
          </cell>
          <cell r="AB192" t="str">
            <v>IVV.AXW</v>
          </cell>
          <cell r="AC192">
            <v>27019</v>
          </cell>
          <cell r="AD192" t="str">
            <v>IVV.AXW</v>
          </cell>
          <cell r="AE192">
            <v>17551</v>
          </cell>
          <cell r="AF192" t="str">
            <v>IVV.AXW</v>
          </cell>
          <cell r="AG192">
            <v>37047</v>
          </cell>
        </row>
        <row r="193">
          <cell r="A193" t="str">
            <v>IWLD</v>
          </cell>
          <cell r="B193" t="str">
            <v>IWLD.AXW</v>
          </cell>
          <cell r="C193" t="str">
            <v>IWLD.AXW</v>
          </cell>
          <cell r="D193">
            <v>101</v>
          </cell>
          <cell r="E193">
            <v>1613722.9999999998</v>
          </cell>
          <cell r="F193">
            <v>3340</v>
          </cell>
          <cell r="G193">
            <v>48240</v>
          </cell>
          <cell r="J193" t="str">
            <v>IWLD.AXW</v>
          </cell>
          <cell r="K193" t="str">
            <v>IWLD</v>
          </cell>
          <cell r="L193">
            <v>2</v>
          </cell>
          <cell r="M193">
            <v>27779305.120000001</v>
          </cell>
          <cell r="N193">
            <v>880778</v>
          </cell>
          <cell r="O193">
            <v>42488</v>
          </cell>
          <cell r="P193" t="str">
            <v>ETF Units</v>
          </cell>
          <cell r="Q193" t="str">
            <v>Exchange Traded Fund Units Fully Paid</v>
          </cell>
          <cell r="R193" t="str">
            <v>Ishares Core Msci World All Cap ETF</v>
          </cell>
          <cell r="S193">
            <v>0</v>
          </cell>
          <cell r="T193">
            <v>72.947100000000006</v>
          </cell>
          <cell r="U193">
            <v>3418</v>
          </cell>
          <cell r="V193">
            <v>2823</v>
          </cell>
          <cell r="X193" t="str">
            <v>IWLD.AXW</v>
          </cell>
          <cell r="Y193">
            <v>3281</v>
          </cell>
          <cell r="Z193" t="str">
            <v>IWLD.AXW</v>
          </cell>
          <cell r="AA193">
            <v>2932</v>
          </cell>
          <cell r="AB193" t="str">
            <v>IWLD.AXW</v>
          </cell>
          <cell r="AC193">
            <v>5842.5</v>
          </cell>
          <cell r="AD193" t="str">
            <v>IWLD.AXW</v>
          </cell>
          <cell r="AE193">
            <v>4118.5</v>
          </cell>
          <cell r="AF193" t="str">
            <v>IWLD.AXW</v>
          </cell>
          <cell r="AG193">
            <v>3340</v>
          </cell>
        </row>
        <row r="194">
          <cell r="A194" t="str">
            <v>IXI</v>
          </cell>
          <cell r="B194" t="str">
            <v>IXI.AXW</v>
          </cell>
          <cell r="C194" t="str">
            <v>IXI.AXW</v>
          </cell>
          <cell r="D194">
            <v>307</v>
          </cell>
          <cell r="E194">
            <v>3155021.2600000007</v>
          </cell>
          <cell r="F194">
            <v>6654.0000000000009</v>
          </cell>
          <cell r="G194">
            <v>48712</v>
          </cell>
          <cell r="J194" t="str">
            <v>IXI.AXW</v>
          </cell>
          <cell r="K194" t="str">
            <v>IXI</v>
          </cell>
          <cell r="L194">
            <v>2</v>
          </cell>
          <cell r="M194">
            <v>107763260.48</v>
          </cell>
          <cell r="N194">
            <v>1608405</v>
          </cell>
          <cell r="O194">
            <v>39883</v>
          </cell>
          <cell r="P194" t="str">
            <v>Cdi 1:1</v>
          </cell>
          <cell r="Q194" t="str">
            <v>Chess Depositary Interests 1:1 Ishconsta</v>
          </cell>
          <cell r="R194" t="str">
            <v>iShares Global Consumer Staples ETF</v>
          </cell>
          <cell r="S194">
            <v>6495</v>
          </cell>
          <cell r="T194">
            <v>135.79315</v>
          </cell>
          <cell r="U194">
            <v>7063</v>
          </cell>
          <cell r="V194">
            <v>6216.5</v>
          </cell>
          <cell r="X194" t="str">
            <v>IXI.AXW</v>
          </cell>
          <cell r="Y194">
            <v>6428</v>
          </cell>
          <cell r="Z194" t="str">
            <v>IXI.AXW</v>
          </cell>
          <cell r="AA194">
            <v>6650</v>
          </cell>
          <cell r="AB194" t="str">
            <v>IXI.AXW</v>
          </cell>
          <cell r="AC194">
            <v>5877</v>
          </cell>
          <cell r="AD194" t="str">
            <v>IXI.AXW</v>
          </cell>
          <cell r="AE194">
            <v>4357</v>
          </cell>
          <cell r="AF194" t="str">
            <v>IXI.AXW</v>
          </cell>
          <cell r="AG194">
            <v>6654.0000000000009</v>
          </cell>
        </row>
        <row r="195">
          <cell r="A195" t="str">
            <v>IXJ</v>
          </cell>
          <cell r="B195" t="str">
            <v>IXJ.AXW</v>
          </cell>
          <cell r="C195" t="str">
            <v>IXJ.AXW</v>
          </cell>
          <cell r="D195">
            <v>866</v>
          </cell>
          <cell r="E195">
            <v>12470633.414999999</v>
          </cell>
          <cell r="F195">
            <v>7603</v>
          </cell>
          <cell r="G195">
            <v>163838</v>
          </cell>
          <cell r="J195" t="str">
            <v>IXJ.AXW</v>
          </cell>
          <cell r="K195" t="str">
            <v>IXJ</v>
          </cell>
          <cell r="L195">
            <v>2</v>
          </cell>
          <cell r="M195">
            <v>497404102</v>
          </cell>
          <cell r="N195">
            <v>6469825</v>
          </cell>
          <cell r="O195">
            <v>39883</v>
          </cell>
          <cell r="P195" t="str">
            <v>Cdi 1:1</v>
          </cell>
          <cell r="Q195" t="str">
            <v>Chess Depositary Interests 1:1 Ishhealth</v>
          </cell>
          <cell r="R195" t="str">
            <v>iShares Global Healthcare ETF</v>
          </cell>
          <cell r="S195">
            <v>6607</v>
          </cell>
          <cell r="T195">
            <v>94.075950000000006</v>
          </cell>
          <cell r="U195">
            <v>7809</v>
          </cell>
          <cell r="V195">
            <v>6736.5</v>
          </cell>
          <cell r="X195" t="str">
            <v>IXJ.AXW</v>
          </cell>
          <cell r="Y195">
            <v>7463</v>
          </cell>
          <cell r="Z195" t="str">
            <v>IXJ.AXW</v>
          </cell>
          <cell r="AA195">
            <v>7196.5</v>
          </cell>
          <cell r="AB195" t="str">
            <v>IXJ.AXW</v>
          </cell>
          <cell r="AC195">
            <v>7091</v>
          </cell>
          <cell r="AD195" t="str">
            <v>IXJ.AXW</v>
          </cell>
          <cell r="AE195">
            <v>4093</v>
          </cell>
          <cell r="AF195" t="str">
            <v>IXJ.AXW</v>
          </cell>
          <cell r="AG195">
            <v>7603</v>
          </cell>
        </row>
        <row r="196">
          <cell r="A196" t="str">
            <v>IZZ</v>
          </cell>
          <cell r="B196" t="str">
            <v>IZZ.AXW</v>
          </cell>
          <cell r="C196" t="str">
            <v>IZZ.AXW</v>
          </cell>
          <cell r="D196">
            <v>624</v>
          </cell>
          <cell r="E196">
            <v>14199352.5</v>
          </cell>
          <cell r="F196">
            <v>5819</v>
          </cell>
          <cell r="G196">
            <v>233387</v>
          </cell>
          <cell r="J196" t="str">
            <v>IZZ.AXW</v>
          </cell>
          <cell r="K196" t="str">
            <v>IZZ</v>
          </cell>
          <cell r="L196">
            <v>2</v>
          </cell>
          <cell r="M196">
            <v>93888611.25</v>
          </cell>
          <cell r="N196">
            <v>1656725</v>
          </cell>
          <cell r="O196">
            <v>39401</v>
          </cell>
          <cell r="P196" t="str">
            <v>Cdi 1:1</v>
          </cell>
          <cell r="Q196" t="str">
            <v>Chess Depositary Interests 1:1 Ishchina</v>
          </cell>
          <cell r="R196" t="str">
            <v>iShares China Large-Cap ETF</v>
          </cell>
          <cell r="S196">
            <v>5574</v>
          </cell>
          <cell r="T196">
            <v>163.59050000000002</v>
          </cell>
          <cell r="U196">
            <v>6701</v>
          </cell>
          <cell r="V196">
            <v>5169</v>
          </cell>
          <cell r="X196" t="str">
            <v>IZZ.AXW</v>
          </cell>
          <cell r="Y196">
            <v>6117</v>
          </cell>
          <cell r="Z196" t="str">
            <v>IZZ.AXW</v>
          </cell>
          <cell r="AA196">
            <v>5169</v>
          </cell>
          <cell r="AB196" t="str">
            <v>IZZ.AXW</v>
          </cell>
          <cell r="AC196">
            <v>6055</v>
          </cell>
          <cell r="AD196" t="str">
            <v>IZZ.AXW</v>
          </cell>
          <cell r="AE196">
            <v>3504</v>
          </cell>
          <cell r="AF196" t="str">
            <v>IZZ.AXW</v>
          </cell>
          <cell r="AG196">
            <v>5819</v>
          </cell>
        </row>
        <row r="197">
          <cell r="A197" t="str">
            <v>MVOL</v>
          </cell>
          <cell r="B197" t="str">
            <v>MVOL.AXW</v>
          </cell>
          <cell r="C197" t="str">
            <v>MVOL.AXW</v>
          </cell>
          <cell r="D197">
            <v>20</v>
          </cell>
          <cell r="E197">
            <v>147349.02999999997</v>
          </cell>
          <cell r="F197">
            <v>2850</v>
          </cell>
          <cell r="G197">
            <v>5197</v>
          </cell>
          <cell r="J197" t="str">
            <v>MVOL.AXW</v>
          </cell>
          <cell r="K197" t="str">
            <v>MVOL</v>
          </cell>
          <cell r="L197">
            <v>2</v>
          </cell>
          <cell r="M197">
            <v>6841681.5</v>
          </cell>
          <cell r="N197">
            <v>80059</v>
          </cell>
          <cell r="O197">
            <v>42657</v>
          </cell>
          <cell r="P197" t="str">
            <v>ETF Units</v>
          </cell>
          <cell r="Q197" t="str">
            <v>Exchange Traded Fund Units Fully Paid</v>
          </cell>
          <cell r="R197" t="str">
            <v>ISHARES EDGE MSCI AUSTRALIA MINIMUM VOLATILITY ETF</v>
          </cell>
          <cell r="S197">
            <v>0</v>
          </cell>
          <cell r="T197">
            <v>186.0471</v>
          </cell>
          <cell r="U197">
            <v>2856</v>
          </cell>
          <cell r="V197">
            <v>2600</v>
          </cell>
          <cell r="X197" t="str">
            <v>MVOL.AXW</v>
          </cell>
          <cell r="Y197">
            <v>2748</v>
          </cell>
          <cell r="Z197" t="str">
            <v>MVOL.AXW</v>
          </cell>
          <cell r="AA197">
            <v>2708</v>
          </cell>
          <cell r="AB197" t="str">
            <v>MVOL.AXW</v>
          </cell>
          <cell r="AC197">
            <v>7384.9999999999991</v>
          </cell>
          <cell r="AD197" t="str">
            <v>MVOL.AXW</v>
          </cell>
          <cell r="AE197">
            <v>5417</v>
          </cell>
          <cell r="AF197" t="str">
            <v>MVOL.AXW</v>
          </cell>
          <cell r="AG197">
            <v>2850</v>
          </cell>
        </row>
        <row r="198">
          <cell r="A198" t="str">
            <v>AUMF</v>
          </cell>
          <cell r="B198" t="str">
            <v>AUMF.AXW</v>
          </cell>
          <cell r="C198" t="str">
            <v>AUMF.AXW</v>
          </cell>
          <cell r="D198">
            <v>19</v>
          </cell>
          <cell r="E198">
            <v>568109.68999999994</v>
          </cell>
          <cell r="F198">
            <v>2975</v>
          </cell>
          <cell r="G198">
            <v>19414</v>
          </cell>
          <cell r="J198" t="str">
            <v>AUMF.AXW</v>
          </cell>
          <cell r="K198" t="str">
            <v>AUMF</v>
          </cell>
          <cell r="L198">
            <v>2</v>
          </cell>
          <cell r="M198">
            <v>9107933.1699999999</v>
          </cell>
          <cell r="N198">
            <v>321041</v>
          </cell>
          <cell r="O198">
            <v>42657</v>
          </cell>
          <cell r="P198" t="str">
            <v>ETF Units</v>
          </cell>
          <cell r="Q198" t="str">
            <v>Exchange Traded Fund Units Fully Paid</v>
          </cell>
          <cell r="R198" t="str">
            <v>ISHARES EDGE MSCI AUSTRALIA MULTIFACTOR ETF</v>
          </cell>
          <cell r="S198">
            <v>0</v>
          </cell>
          <cell r="T198">
            <v>192.11070000000001</v>
          </cell>
          <cell r="U198">
            <v>2978</v>
          </cell>
          <cell r="V198">
            <v>2600</v>
          </cell>
          <cell r="X198" t="str">
            <v>AUMF.AXW</v>
          </cell>
          <cell r="Y198">
            <v>2880</v>
          </cell>
          <cell r="Z198" t="str">
            <v>AUMF.AXW</v>
          </cell>
          <cell r="AA198">
            <v>2689</v>
          </cell>
          <cell r="AB198" t="str">
            <v>AUMF.AXW</v>
          </cell>
          <cell r="AC198">
            <v>5035</v>
          </cell>
          <cell r="AD198" t="str">
            <v>AUMF.AXW</v>
          </cell>
          <cell r="AE198">
            <v>3800</v>
          </cell>
          <cell r="AF198" t="str">
            <v>AUMF.AXW</v>
          </cell>
          <cell r="AG198">
            <v>2975</v>
          </cell>
        </row>
        <row r="199">
          <cell r="A199" t="str">
            <v>WVOL</v>
          </cell>
          <cell r="B199" t="str">
            <v>WVOL.AXW</v>
          </cell>
          <cell r="C199" t="str">
            <v>WVOL.AXW</v>
          </cell>
          <cell r="D199">
            <v>76</v>
          </cell>
          <cell r="E199">
            <v>1227176.6300000001</v>
          </cell>
          <cell r="F199">
            <v>2915</v>
          </cell>
          <cell r="G199">
            <v>42987</v>
          </cell>
          <cell r="J199" t="str">
            <v>WVOL.AXW</v>
          </cell>
          <cell r="K199" t="str">
            <v>WVOL</v>
          </cell>
          <cell r="L199">
            <v>2</v>
          </cell>
          <cell r="M199">
            <v>10204244.199999999</v>
          </cell>
          <cell r="N199">
            <v>360574</v>
          </cell>
          <cell r="O199">
            <v>42657</v>
          </cell>
          <cell r="P199" t="str">
            <v>ETF Units</v>
          </cell>
          <cell r="Q199" t="str">
            <v>Exchange Traded Fund Units Fully Paid</v>
          </cell>
          <cell r="R199" t="str">
            <v>ISHARES EDGE MSCI WORLD MINIMUM VOLATILITY ETF</v>
          </cell>
          <cell r="S199">
            <v>0</v>
          </cell>
          <cell r="T199">
            <v>123.4008</v>
          </cell>
          <cell r="U199">
            <v>2939</v>
          </cell>
          <cell r="V199">
            <v>2566</v>
          </cell>
          <cell r="X199" t="str">
            <v>WVOL.AXW</v>
          </cell>
          <cell r="Y199">
            <v>2851</v>
          </cell>
          <cell r="Z199" t="str">
            <v>WVOL.AXW</v>
          </cell>
          <cell r="AA199">
            <v>2677</v>
          </cell>
          <cell r="AB199" t="str">
            <v>WVOL.AXW</v>
          </cell>
          <cell r="AC199">
            <v>96</v>
          </cell>
          <cell r="AD199" t="str">
            <v>WVOL.AXW</v>
          </cell>
          <cell r="AE199">
            <v>65.62380051612854</v>
          </cell>
          <cell r="AF199" t="str">
            <v>WVOL.AXW</v>
          </cell>
          <cell r="AG199">
            <v>2915</v>
          </cell>
        </row>
        <row r="200">
          <cell r="A200" t="str">
            <v>WDMF</v>
          </cell>
          <cell r="B200" t="str">
            <v>WDMF.AXW</v>
          </cell>
          <cell r="C200" t="str">
            <v>WDMF.AXW</v>
          </cell>
          <cell r="D200">
            <v>289</v>
          </cell>
          <cell r="E200">
            <v>11384974.261999998</v>
          </cell>
          <cell r="F200">
            <v>3222.9999999999995</v>
          </cell>
          <cell r="G200">
            <v>350534</v>
          </cell>
          <cell r="J200" t="str">
            <v>WDMF.AXW</v>
          </cell>
          <cell r="K200" t="str">
            <v>WDMF</v>
          </cell>
          <cell r="L200">
            <v>2</v>
          </cell>
          <cell r="M200">
            <v>61620200.82</v>
          </cell>
          <cell r="N200">
            <v>2201802</v>
          </cell>
          <cell r="O200">
            <v>42657</v>
          </cell>
          <cell r="P200" t="str">
            <v>ETF Units</v>
          </cell>
          <cell r="Q200" t="str">
            <v>Exchange Traded Fund Units Fully Paid</v>
          </cell>
          <cell r="R200" t="str">
            <v>ISHARES EDGE MSCI WORLD MULTIFACTOR ETF</v>
          </cell>
          <cell r="S200">
            <v>0</v>
          </cell>
          <cell r="T200">
            <v>98.742800000000003</v>
          </cell>
          <cell r="U200">
            <v>3322</v>
          </cell>
          <cell r="V200">
            <v>2692</v>
          </cell>
          <cell r="X200" t="str">
            <v>WDMF.AXW</v>
          </cell>
          <cell r="Y200">
            <v>3226</v>
          </cell>
          <cell r="Z200" t="str">
            <v>WDMF.AXW</v>
          </cell>
          <cell r="AA200">
            <v>2855</v>
          </cell>
          <cell r="AB200" t="str">
            <v>WDMF.AXW</v>
          </cell>
          <cell r="AC200">
            <v>92</v>
          </cell>
          <cell r="AD200" t="str">
            <v>WDMF.AXW</v>
          </cell>
          <cell r="AE200">
            <v>81.53260064125061</v>
          </cell>
          <cell r="AF200" t="str">
            <v>WDMF.AXW</v>
          </cell>
          <cell r="AG200">
            <v>3222.9999999999995</v>
          </cell>
        </row>
        <row r="201">
          <cell r="A201" t="str">
            <v>KAT</v>
          </cell>
          <cell r="B201" t="str">
            <v>KAT.ASX</v>
          </cell>
          <cell r="C201" t="str">
            <v>KAT.ASX</v>
          </cell>
          <cell r="D201">
            <v>94</v>
          </cell>
          <cell r="E201">
            <v>732176.09500000009</v>
          </cell>
          <cell r="F201">
            <v>76.5</v>
          </cell>
          <cell r="G201">
            <v>960810</v>
          </cell>
          <cell r="J201" t="str">
            <v>KAT.ASX</v>
          </cell>
          <cell r="K201" t="str">
            <v>KAT</v>
          </cell>
          <cell r="L201">
            <v>2</v>
          </cell>
          <cell r="M201">
            <v>32956276.5</v>
          </cell>
          <cell r="N201">
            <v>43080100</v>
          </cell>
          <cell r="O201">
            <v>38709</v>
          </cell>
          <cell r="P201" t="str">
            <v>Fpo</v>
          </cell>
          <cell r="Q201" t="str">
            <v>Ordinary Fully Paid</v>
          </cell>
          <cell r="R201" t="str">
            <v>Katana Capital Limited</v>
          </cell>
          <cell r="S201">
            <v>93</v>
          </cell>
          <cell r="T201">
            <v>2.25</v>
          </cell>
          <cell r="U201">
            <v>85.5</v>
          </cell>
          <cell r="V201">
            <v>70</v>
          </cell>
          <cell r="X201" t="str">
            <v>KAT.ASX</v>
          </cell>
          <cell r="Y201">
            <v>75.5</v>
          </cell>
          <cell r="Z201" t="str">
            <v>KAT.ASX</v>
          </cell>
          <cell r="AA201">
            <v>71</v>
          </cell>
          <cell r="AB201" t="str">
            <v>KAT.ASX</v>
          </cell>
          <cell r="AC201">
            <v>82</v>
          </cell>
          <cell r="AD201" t="str">
            <v>KAT.ASX</v>
          </cell>
          <cell r="AE201">
            <v>77.555400609970093</v>
          </cell>
          <cell r="AF201" t="str">
            <v>KAT.ASX</v>
          </cell>
          <cell r="AG201">
            <v>76.5</v>
          </cell>
        </row>
        <row r="202">
          <cell r="A202" t="str">
            <v>KII</v>
          </cell>
          <cell r="B202" t="str">
            <v>KII.AXW</v>
          </cell>
          <cell r="C202" t="str">
            <v>KII.AXW</v>
          </cell>
          <cell r="D202">
            <v>21</v>
          </cell>
          <cell r="E202">
            <v>1471874.24</v>
          </cell>
          <cell r="F202">
            <v>270</v>
          </cell>
          <cell r="G202">
            <v>534514</v>
          </cell>
          <cell r="J202" t="str">
            <v>KII.AXW</v>
          </cell>
          <cell r="K202" t="str">
            <v>KII</v>
          </cell>
          <cell r="L202">
            <v>2</v>
          </cell>
          <cell r="M202">
            <v>16858519.199999999</v>
          </cell>
          <cell r="N202">
            <v>6295938</v>
          </cell>
          <cell r="O202">
            <v>42205</v>
          </cell>
          <cell r="P202" t="str">
            <v>Tmf Units</v>
          </cell>
          <cell r="Q202" t="str">
            <v>Trading Managed Fund Units Fully Paid</v>
          </cell>
          <cell r="R202" t="str">
            <v>K2 Global Equities Fund (Hedge Fund)</v>
          </cell>
          <cell r="S202">
            <v>0</v>
          </cell>
          <cell r="U202">
            <v>283</v>
          </cell>
          <cell r="V202">
            <v>247</v>
          </cell>
          <cell r="X202" t="str">
            <v>KII.AXW</v>
          </cell>
          <cell r="Y202">
            <v>269</v>
          </cell>
          <cell r="Z202" t="str">
            <v>KII.AXW</v>
          </cell>
          <cell r="AA202">
            <v>248</v>
          </cell>
          <cell r="AB202" t="str">
            <v>KII.AXW</v>
          </cell>
          <cell r="AC202">
            <v>336</v>
          </cell>
          <cell r="AD202" t="str">
            <v>KII.AXW</v>
          </cell>
          <cell r="AE202">
            <v>234</v>
          </cell>
          <cell r="AF202" t="str">
            <v>KII.AXW</v>
          </cell>
          <cell r="AG202">
            <v>270</v>
          </cell>
        </row>
        <row r="203">
          <cell r="A203" t="str">
            <v>KSM</v>
          </cell>
          <cell r="B203" t="str">
            <v>KSM.AXW</v>
          </cell>
          <cell r="C203" t="str">
            <v>KSM.AXW</v>
          </cell>
          <cell r="D203">
            <v>18</v>
          </cell>
          <cell r="E203">
            <v>1025786.0699999998</v>
          </cell>
          <cell r="F203">
            <v>256</v>
          </cell>
          <cell r="G203">
            <v>392563</v>
          </cell>
          <cell r="J203" t="str">
            <v>KSM.AXW</v>
          </cell>
          <cell r="K203" t="str">
            <v>KSM</v>
          </cell>
          <cell r="L203">
            <v>2</v>
          </cell>
          <cell r="M203">
            <v>13442417.369999999</v>
          </cell>
          <cell r="N203">
            <v>5786244</v>
          </cell>
          <cell r="O203">
            <v>42353</v>
          </cell>
          <cell r="P203" t="str">
            <v>Tmf Units</v>
          </cell>
          <cell r="Q203" t="str">
            <v>Trading Managed Fund Units Fully Paid</v>
          </cell>
          <cell r="R203" t="str">
            <v>K2 Australian Small Cap Fund (Hedge Fund)</v>
          </cell>
          <cell r="S203">
            <v>0</v>
          </cell>
          <cell r="T203">
            <v>17</v>
          </cell>
          <cell r="U203">
            <v>280</v>
          </cell>
          <cell r="V203">
            <v>242</v>
          </cell>
          <cell r="X203" t="str">
            <v>KSM.AXW</v>
          </cell>
          <cell r="Y203">
            <v>264</v>
          </cell>
          <cell r="Z203" t="str">
            <v>KSM.AXW</v>
          </cell>
          <cell r="AA203">
            <v>261</v>
          </cell>
          <cell r="AB203" t="str">
            <v>KSM.AXW</v>
          </cell>
          <cell r="AC203">
            <v>380</v>
          </cell>
          <cell r="AD203" t="str">
            <v>KSM.AXW</v>
          </cell>
          <cell r="AE203">
            <v>261</v>
          </cell>
          <cell r="AF203" t="str">
            <v>KSM.AXW</v>
          </cell>
          <cell r="AG203">
            <v>256</v>
          </cell>
        </row>
        <row r="204">
          <cell r="A204" t="str">
            <v>LEP</v>
          </cell>
          <cell r="B204" t="str">
            <v>LEP.ASX</v>
          </cell>
          <cell r="C204" t="str">
            <v>LEP.ASX</v>
          </cell>
          <cell r="D204">
            <v>2199</v>
          </cell>
          <cell r="E204">
            <v>6335819.7550000008</v>
          </cell>
          <cell r="F204">
            <v>559</v>
          </cell>
          <cell r="G204">
            <v>1152430</v>
          </cell>
          <cell r="J204" t="str">
            <v>LEP.ASX</v>
          </cell>
          <cell r="K204" t="str">
            <v>LEP</v>
          </cell>
          <cell r="L204">
            <v>2</v>
          </cell>
          <cell r="M204">
            <v>1063026104.4</v>
          </cell>
          <cell r="N204">
            <v>195769080</v>
          </cell>
          <cell r="O204">
            <v>37937</v>
          </cell>
          <cell r="P204" t="str">
            <v>Stapled</v>
          </cell>
          <cell r="Q204" t="str">
            <v>Ordinary/Units Fully Paid Stapled Securities</v>
          </cell>
          <cell r="R204" t="str">
            <v>ALE Property Group</v>
          </cell>
          <cell r="S204">
            <v>304</v>
          </cell>
          <cell r="T204">
            <v>20.799999999999997</v>
          </cell>
          <cell r="U204">
            <v>582.5</v>
          </cell>
          <cell r="V204">
            <v>450</v>
          </cell>
          <cell r="X204" t="str">
            <v>LEP.ASX</v>
          </cell>
          <cell r="Y204">
            <v>530</v>
          </cell>
          <cell r="Z204" t="str">
            <v>LEP.ASX</v>
          </cell>
          <cell r="AA204">
            <v>467</v>
          </cell>
          <cell r="AB204" t="str">
            <v>LEP.ASX</v>
          </cell>
          <cell r="AC204">
            <v>369</v>
          </cell>
          <cell r="AD204" t="str">
            <v>LEP.ASX</v>
          </cell>
          <cell r="AE204">
            <v>267</v>
          </cell>
          <cell r="AF204" t="str">
            <v>LEP.ASX</v>
          </cell>
          <cell r="AG204">
            <v>559</v>
          </cell>
        </row>
        <row r="205">
          <cell r="A205" t="str">
            <v>LRT</v>
          </cell>
          <cell r="B205" t="str">
            <v>LRT.ASX</v>
          </cell>
          <cell r="C205" t="str">
            <v>LRT.ASX</v>
          </cell>
          <cell r="D205">
            <v>23</v>
          </cell>
          <cell r="E205">
            <v>72561.499999999985</v>
          </cell>
          <cell r="F205">
            <v>675</v>
          </cell>
          <cell r="G205">
            <v>10391</v>
          </cell>
          <cell r="J205" t="str">
            <v>LRT.ASX</v>
          </cell>
          <cell r="K205" t="str">
            <v>LRT</v>
          </cell>
          <cell r="L205">
            <v>2</v>
          </cell>
          <cell r="M205">
            <v>18881363.25</v>
          </cell>
          <cell r="N205">
            <v>2797239</v>
          </cell>
          <cell r="O205">
            <v>43181</v>
          </cell>
          <cell r="P205" t="str">
            <v>Units</v>
          </cell>
          <cell r="Q205" t="str">
            <v>Ordinary Units Fully Paid</v>
          </cell>
          <cell r="R205" t="str">
            <v>Lowell Resources Fund</v>
          </cell>
          <cell r="S205">
            <v>0</v>
          </cell>
          <cell r="U205">
            <v>850</v>
          </cell>
          <cell r="V205">
            <v>670</v>
          </cell>
          <cell r="X205" t="str">
            <v>LRT.ASX</v>
          </cell>
          <cell r="Y205">
            <v>800</v>
          </cell>
          <cell r="Z205" t="str">
            <v>LRT.ASX</v>
          </cell>
          <cell r="AA205">
            <v>41</v>
          </cell>
          <cell r="AB205" t="str">
            <v>LRT.ASX</v>
          </cell>
          <cell r="AC205">
            <v>17</v>
          </cell>
          <cell r="AD205" t="str">
            <v>LRT.ASX</v>
          </cell>
          <cell r="AE205">
            <v>62</v>
          </cell>
          <cell r="AF205" t="str">
            <v>LRT.ASX</v>
          </cell>
          <cell r="AG205">
            <v>675</v>
          </cell>
        </row>
        <row r="206">
          <cell r="A206" t="str">
            <v>LSX</v>
          </cell>
          <cell r="B206" t="str">
            <v>LSX.ASX</v>
          </cell>
          <cell r="C206" t="str">
            <v>LSX.ASX</v>
          </cell>
          <cell r="D206">
            <v>93</v>
          </cell>
          <cell r="E206">
            <v>448772.72500000003</v>
          </cell>
          <cell r="F206">
            <v>30</v>
          </cell>
          <cell r="G206">
            <v>1442673</v>
          </cell>
          <cell r="J206" t="str">
            <v>LSX.ASX</v>
          </cell>
          <cell r="K206" t="str">
            <v>LSX</v>
          </cell>
          <cell r="L206">
            <v>2</v>
          </cell>
          <cell r="M206">
            <v>44289789.305</v>
          </cell>
          <cell r="N206">
            <v>150134879</v>
          </cell>
          <cell r="O206">
            <v>41346</v>
          </cell>
          <cell r="P206" t="str">
            <v>Fpo</v>
          </cell>
          <cell r="Q206" t="str">
            <v>Ordinary Fully Paid</v>
          </cell>
          <cell r="R206" t="str">
            <v>Lion Selection Group Limited</v>
          </cell>
          <cell r="S206">
            <v>32</v>
          </cell>
          <cell r="U206">
            <v>43</v>
          </cell>
          <cell r="V206">
            <v>29</v>
          </cell>
          <cell r="X206" t="str">
            <v>LSX.ASX</v>
          </cell>
          <cell r="Y206">
            <v>32.5</v>
          </cell>
          <cell r="Z206" t="str">
            <v>LSX.ASX</v>
          </cell>
          <cell r="AA206">
            <v>38</v>
          </cell>
          <cell r="AB206" t="str">
            <v>LSX.ASX</v>
          </cell>
          <cell r="AC206">
            <v>17.5</v>
          </cell>
          <cell r="AD206" t="str">
            <v>LSX.ASX</v>
          </cell>
          <cell r="AE206">
            <v>53</v>
          </cell>
          <cell r="AF206" t="str">
            <v>LSX.ASX</v>
          </cell>
          <cell r="AG206">
            <v>30</v>
          </cell>
        </row>
        <row r="207">
          <cell r="A207" t="str">
            <v>LSF</v>
          </cell>
          <cell r="B207" t="str">
            <v>LSF.ASX</v>
          </cell>
          <cell r="C207" t="str">
            <v>LSF.ASX</v>
          </cell>
          <cell r="D207">
            <v>3149</v>
          </cell>
          <cell r="E207">
            <v>42965564.469999991</v>
          </cell>
          <cell r="F207">
            <v>188</v>
          </cell>
          <cell r="G207">
            <v>22423051</v>
          </cell>
          <cell r="J207" t="str">
            <v>LSF.ASX</v>
          </cell>
          <cell r="K207" t="str">
            <v>LSF</v>
          </cell>
          <cell r="L207">
            <v>2</v>
          </cell>
          <cell r="M207">
            <v>1269842765.04</v>
          </cell>
          <cell r="N207">
            <v>664839144</v>
          </cell>
          <cell r="O207">
            <v>43214</v>
          </cell>
          <cell r="P207" t="str">
            <v>Fpo</v>
          </cell>
          <cell r="Q207" t="str">
            <v>Ordinary Fully Paid</v>
          </cell>
          <cell r="R207" t="str">
            <v>L1 Long Short Fund Limited</v>
          </cell>
          <cell r="S207">
            <v>0</v>
          </cell>
          <cell r="U207">
            <v>209</v>
          </cell>
          <cell r="V207">
            <v>178</v>
          </cell>
          <cell r="X207" t="str">
            <v>LSF.ASX</v>
          </cell>
          <cell r="Y207">
            <v>202</v>
          </cell>
          <cell r="Z207" t="str">
            <v>LSF.ASX</v>
          </cell>
          <cell r="AB207" t="str">
            <v>LSF.ASX</v>
          </cell>
          <cell r="AD207" t="str">
            <v>LSF.ASX</v>
          </cell>
          <cell r="AF207" t="str">
            <v>LSF.ASX</v>
          </cell>
          <cell r="AG207">
            <v>188</v>
          </cell>
        </row>
        <row r="208">
          <cell r="A208" t="str">
            <v>LTN</v>
          </cell>
          <cell r="B208" t="str">
            <v>LTN.ASX</v>
          </cell>
          <cell r="C208" t="str">
            <v>LTN.ASX</v>
          </cell>
          <cell r="D208">
            <v>0</v>
          </cell>
          <cell r="E208">
            <v>0</v>
          </cell>
          <cell r="F208">
            <v>0.2</v>
          </cell>
          <cell r="G208">
            <v>0</v>
          </cell>
          <cell r="J208" t="str">
            <v>LTN.ASX</v>
          </cell>
          <cell r="K208" t="str">
            <v>LTN</v>
          </cell>
          <cell r="L208">
            <v>2</v>
          </cell>
          <cell r="M208">
            <v>1766404.26</v>
          </cell>
          <cell r="N208">
            <v>883202130</v>
          </cell>
          <cell r="O208">
            <v>38176</v>
          </cell>
          <cell r="P208" t="str">
            <v>Stapled</v>
          </cell>
          <cell r="Q208" t="str">
            <v>Units/Ordinary Fully Paid Stapled Securities</v>
          </cell>
          <cell r="R208" t="str">
            <v>Lantern Hotel Group</v>
          </cell>
          <cell r="S208">
            <v>0</v>
          </cell>
          <cell r="U208">
            <v>0.25</v>
          </cell>
          <cell r="V208">
            <v>0.15</v>
          </cell>
          <cell r="X208" t="str">
            <v>LTN.ASX</v>
          </cell>
          <cell r="Y208">
            <v>0.2</v>
          </cell>
          <cell r="Z208" t="str">
            <v>LTN.ASX</v>
          </cell>
          <cell r="AA208">
            <v>0.2</v>
          </cell>
          <cell r="AB208" t="str">
            <v>LTN.ASX</v>
          </cell>
          <cell r="AC208">
            <v>0.12824796142925571</v>
          </cell>
          <cell r="AD208" t="str">
            <v>LTN.ASX</v>
          </cell>
          <cell r="AE208">
            <v>0.10799828330884692</v>
          </cell>
          <cell r="AF208" t="str">
            <v>LTN.ASX</v>
          </cell>
          <cell r="AG208">
            <v>0.2</v>
          </cell>
        </row>
        <row r="209">
          <cell r="A209" t="str">
            <v>MA1</v>
          </cell>
          <cell r="B209" t="str">
            <v>MA1.ASX</v>
          </cell>
          <cell r="C209" t="str">
            <v>MA1.ASX</v>
          </cell>
          <cell r="D209">
            <v>163</v>
          </cell>
          <cell r="E209">
            <v>1569776.1099999999</v>
          </cell>
          <cell r="F209">
            <v>82</v>
          </cell>
          <cell r="G209">
            <v>1893120</v>
          </cell>
          <cell r="J209" t="str">
            <v>MA1.ASX</v>
          </cell>
          <cell r="K209" t="str">
            <v>MA1</v>
          </cell>
          <cell r="L209">
            <v>2</v>
          </cell>
          <cell r="M209">
            <v>41101569.060000002</v>
          </cell>
          <cell r="N209">
            <v>49223436</v>
          </cell>
          <cell r="O209">
            <v>42472</v>
          </cell>
          <cell r="P209" t="str">
            <v>Fpo</v>
          </cell>
          <cell r="Q209" t="str">
            <v>Ordinary Fully Paid</v>
          </cell>
          <cell r="R209" t="str">
            <v>Monash Absolute Investment Company Limited</v>
          </cell>
          <cell r="S209">
            <v>97</v>
          </cell>
          <cell r="U209">
            <v>94</v>
          </cell>
          <cell r="V209">
            <v>74</v>
          </cell>
          <cell r="X209" t="str">
            <v>MA1.ASX</v>
          </cell>
          <cell r="Y209">
            <v>82.5</v>
          </cell>
          <cell r="Z209" t="str">
            <v>MA1.ASX</v>
          </cell>
          <cell r="AA209">
            <v>75</v>
          </cell>
          <cell r="AB209" t="str">
            <v>MA1.ASX</v>
          </cell>
          <cell r="AC209">
            <v>612.0051092505455</v>
          </cell>
          <cell r="AD209" t="str">
            <v>MA1.ASX</v>
          </cell>
          <cell r="AE209">
            <v>627.98680949211121</v>
          </cell>
          <cell r="AF209" t="str">
            <v>MA1.ASX</v>
          </cell>
          <cell r="AG209">
            <v>82</v>
          </cell>
        </row>
        <row r="210">
          <cell r="A210" t="str">
            <v>MAX</v>
          </cell>
          <cell r="B210" t="str">
            <v>MAX.ASX</v>
          </cell>
          <cell r="C210" t="str">
            <v>MAX.ASX</v>
          </cell>
          <cell r="D210">
            <v>0</v>
          </cell>
          <cell r="E210">
            <v>0</v>
          </cell>
          <cell r="F210">
            <v>660</v>
          </cell>
          <cell r="G210">
            <v>0</v>
          </cell>
          <cell r="J210" t="str">
            <v>MAX.ASX</v>
          </cell>
          <cell r="K210" t="str">
            <v>MAX</v>
          </cell>
          <cell r="L210">
            <v>2</v>
          </cell>
          <cell r="M210">
            <v>7931919.5999999996</v>
          </cell>
          <cell r="N210">
            <v>1201806</v>
          </cell>
          <cell r="O210">
            <v>39071</v>
          </cell>
          <cell r="P210" t="str">
            <v>Unit</v>
          </cell>
          <cell r="Q210" t="str">
            <v>Ordinary Units Fully Paid</v>
          </cell>
          <cell r="R210" t="str">
            <v>Millinium'S Alternatives Fund.</v>
          </cell>
          <cell r="S210">
            <v>671</v>
          </cell>
          <cell r="U210">
            <v>661</v>
          </cell>
          <cell r="V210">
            <v>488</v>
          </cell>
          <cell r="X210" t="str">
            <v>MAX.ASX</v>
          </cell>
          <cell r="Y210">
            <v>660</v>
          </cell>
          <cell r="Z210" t="str">
            <v>MAX.ASX</v>
          </cell>
          <cell r="AA210">
            <v>627.98680000000002</v>
          </cell>
          <cell r="AB210" t="str">
            <v>MAX.ASX</v>
          </cell>
          <cell r="AC210">
            <v>612.0051092505455</v>
          </cell>
          <cell r="AD210" t="str">
            <v>MAX.ASX</v>
          </cell>
          <cell r="AE210">
            <v>603.54420912265778</v>
          </cell>
          <cell r="AF210" t="str">
            <v>MAX.ASX</v>
          </cell>
          <cell r="AG210">
            <v>660</v>
          </cell>
        </row>
        <row r="211">
          <cell r="A211" t="str">
            <v>MFF</v>
          </cell>
          <cell r="B211" t="str">
            <v>MFF.ASX</v>
          </cell>
          <cell r="C211" t="str">
            <v>MFF.ASX</v>
          </cell>
          <cell r="D211">
            <v>1747</v>
          </cell>
          <cell r="E211">
            <v>15015008.785</v>
          </cell>
          <cell r="F211">
            <v>267</v>
          </cell>
          <cell r="G211">
            <v>5763280</v>
          </cell>
          <cell r="J211" t="str">
            <v>MFF.ASX</v>
          </cell>
          <cell r="K211" t="str">
            <v>MFF</v>
          </cell>
          <cell r="L211">
            <v>2</v>
          </cell>
          <cell r="M211">
            <v>1406592304</v>
          </cell>
          <cell r="N211">
            <v>540997040</v>
          </cell>
          <cell r="O211">
            <v>39070</v>
          </cell>
          <cell r="P211" t="str">
            <v>Fpo</v>
          </cell>
          <cell r="Q211" t="str">
            <v>Ordinary Fully Paid</v>
          </cell>
          <cell r="R211" t="str">
            <v>MFF Capital Investments Limited</v>
          </cell>
          <cell r="S211">
            <v>224</v>
          </cell>
          <cell r="T211">
            <v>2.5</v>
          </cell>
          <cell r="U211">
            <v>274</v>
          </cell>
          <cell r="V211">
            <v>187.5</v>
          </cell>
          <cell r="X211" t="str">
            <v>MFF.ASX</v>
          </cell>
          <cell r="Y211">
            <v>248</v>
          </cell>
          <cell r="Z211" t="str">
            <v>MFF.ASX</v>
          </cell>
          <cell r="AA211">
            <v>194.5</v>
          </cell>
          <cell r="AB211" t="str">
            <v>MFF.ASX</v>
          </cell>
          <cell r="AC211">
            <v>177</v>
          </cell>
          <cell r="AD211" t="str">
            <v>MFF.ASX</v>
          </cell>
          <cell r="AE211">
            <v>130.02115234732628</v>
          </cell>
          <cell r="AF211" t="str">
            <v>MFF.ASX</v>
          </cell>
          <cell r="AG211">
            <v>267</v>
          </cell>
        </row>
        <row r="212">
          <cell r="A212" t="str">
            <v>MGE</v>
          </cell>
          <cell r="B212" t="str">
            <v>MGE.AXW</v>
          </cell>
          <cell r="C212" t="str">
            <v>MGE.AXW</v>
          </cell>
          <cell r="D212">
            <v>1577</v>
          </cell>
          <cell r="E212">
            <v>41369516.670000002</v>
          </cell>
          <cell r="F212">
            <v>314</v>
          </cell>
          <cell r="G212">
            <v>12831988</v>
          </cell>
          <cell r="J212" t="str">
            <v>MGE.AXW</v>
          </cell>
          <cell r="K212" t="str">
            <v>MGE</v>
          </cell>
          <cell r="L212">
            <v>2</v>
          </cell>
          <cell r="M212">
            <v>1052580256.88</v>
          </cell>
          <cell r="N212">
            <v>334812476</v>
          </cell>
          <cell r="O212">
            <v>42068</v>
          </cell>
          <cell r="P212" t="str">
            <v>Tmf Units</v>
          </cell>
          <cell r="Q212" t="str">
            <v>Trading Managed Fund Units Fully Paid</v>
          </cell>
          <cell r="R212" t="str">
            <v>Magellan Global Equities Fund (Managed Fund)</v>
          </cell>
          <cell r="S212">
            <v>0</v>
          </cell>
          <cell r="T212">
            <v>9.5</v>
          </cell>
          <cell r="U212">
            <v>331</v>
          </cell>
          <cell r="V212">
            <v>269</v>
          </cell>
          <cell r="X212" t="str">
            <v>MGE.AXW</v>
          </cell>
          <cell r="Y212">
            <v>316</v>
          </cell>
          <cell r="Z212" t="str">
            <v>MGE.AXW</v>
          </cell>
          <cell r="AA212">
            <v>277</v>
          </cell>
          <cell r="AB212" t="str">
            <v>MGE.AXW</v>
          </cell>
          <cell r="AC212">
            <v>250.99999999999997</v>
          </cell>
          <cell r="AD212" t="str">
            <v>MGE.AXW</v>
          </cell>
          <cell r="AE212">
            <v>177</v>
          </cell>
          <cell r="AF212" t="str">
            <v>MGE.AXW</v>
          </cell>
          <cell r="AG212">
            <v>314</v>
          </cell>
        </row>
        <row r="213">
          <cell r="A213" t="str">
            <v>MGR</v>
          </cell>
          <cell r="B213" t="str">
            <v>MGR.ASX</v>
          </cell>
          <cell r="C213" t="str">
            <v>MGR.ASX</v>
          </cell>
          <cell r="D213">
            <v>81377</v>
          </cell>
          <cell r="E213">
            <v>951747939.62160027</v>
          </cell>
          <cell r="F213">
            <v>217</v>
          </cell>
          <cell r="G213">
            <v>428606225</v>
          </cell>
          <cell r="J213" t="str">
            <v>MGR.ASX</v>
          </cell>
          <cell r="K213" t="str">
            <v>MGR</v>
          </cell>
          <cell r="L213">
            <v>2</v>
          </cell>
          <cell r="M213">
            <v>8225353080</v>
          </cell>
          <cell r="N213">
            <v>3710871966</v>
          </cell>
          <cell r="O213">
            <v>36329</v>
          </cell>
          <cell r="P213" t="str">
            <v>Stapled</v>
          </cell>
          <cell r="Q213" t="str">
            <v>Stapled Securities</v>
          </cell>
          <cell r="R213" t="str">
            <v>Mirvac Group</v>
          </cell>
          <cell r="S213">
            <v>220</v>
          </cell>
          <cell r="T213">
            <v>11</v>
          </cell>
          <cell r="U213">
            <v>254</v>
          </cell>
          <cell r="V213">
            <v>200.5</v>
          </cell>
          <cell r="X213" t="str">
            <v>MGR.ASX</v>
          </cell>
          <cell r="Y213">
            <v>231</v>
          </cell>
          <cell r="Z213" t="str">
            <v>MGR.ASX</v>
          </cell>
          <cell r="AA213">
            <v>213</v>
          </cell>
          <cell r="AB213" t="str">
            <v>MGR.ASX</v>
          </cell>
          <cell r="AC213">
            <v>185</v>
          </cell>
          <cell r="AD213" t="str">
            <v>MGR.ASX</v>
          </cell>
          <cell r="AE213">
            <v>160.5</v>
          </cell>
          <cell r="AF213" t="str">
            <v>MGR.ASX</v>
          </cell>
          <cell r="AG213">
            <v>217</v>
          </cell>
        </row>
        <row r="214">
          <cell r="A214" t="str">
            <v>MHG</v>
          </cell>
          <cell r="B214" t="str">
            <v>MHG.AXW</v>
          </cell>
          <cell r="C214" t="str">
            <v>MHG.AXW</v>
          </cell>
          <cell r="D214">
            <v>93</v>
          </cell>
          <cell r="E214">
            <v>2538282.5900000008</v>
          </cell>
          <cell r="F214">
            <v>299</v>
          </cell>
          <cell r="G214">
            <v>806341</v>
          </cell>
          <cell r="J214" t="str">
            <v>MHG.AXW</v>
          </cell>
          <cell r="K214" t="str">
            <v>MHG</v>
          </cell>
          <cell r="L214">
            <v>2</v>
          </cell>
          <cell r="M214">
            <v>66012888</v>
          </cell>
          <cell r="N214">
            <v>22453756</v>
          </cell>
          <cell r="O214">
            <v>42226</v>
          </cell>
          <cell r="P214" t="str">
            <v>Tmf Units</v>
          </cell>
          <cell r="Q214" t="str">
            <v>Trading Managed Fund Units Fully Paid</v>
          </cell>
          <cell r="R214" t="str">
            <v>Magellan Global Equities Fund(Currency Hedged)(Mf)</v>
          </cell>
          <cell r="S214">
            <v>0</v>
          </cell>
          <cell r="T214">
            <v>12</v>
          </cell>
          <cell r="U214">
            <v>322</v>
          </cell>
          <cell r="V214">
            <v>272</v>
          </cell>
          <cell r="X214" t="str">
            <v>MHG.AXW</v>
          </cell>
          <cell r="Y214">
            <v>308</v>
          </cell>
          <cell r="Z214" t="str">
            <v>MHG.AXW</v>
          </cell>
          <cell r="AA214">
            <v>277</v>
          </cell>
          <cell r="AB214" t="str">
            <v>MHG.AXW</v>
          </cell>
          <cell r="AD214" t="str">
            <v>MHG.AXW</v>
          </cell>
          <cell r="AF214" t="str">
            <v>MHG.AXW</v>
          </cell>
          <cell r="AG214">
            <v>299</v>
          </cell>
        </row>
        <row r="215">
          <cell r="A215" t="str">
            <v>MICH</v>
          </cell>
          <cell r="B215" t="str">
            <v>MICH.AXW</v>
          </cell>
          <cell r="C215" t="str">
            <v>MICH.AXW</v>
          </cell>
          <cell r="D215">
            <v>347</v>
          </cell>
          <cell r="E215">
            <v>6639642.7899999991</v>
          </cell>
          <cell r="F215">
            <v>276</v>
          </cell>
          <cell r="G215">
            <v>2405633</v>
          </cell>
          <cell r="J215" t="str">
            <v>MICH.AXW</v>
          </cell>
          <cell r="K215" t="str">
            <v>MICH</v>
          </cell>
          <cell r="L215">
            <v>2</v>
          </cell>
          <cell r="M215">
            <v>175611640.90000001</v>
          </cell>
          <cell r="N215">
            <v>64964572</v>
          </cell>
          <cell r="O215">
            <v>42573</v>
          </cell>
          <cell r="P215" t="str">
            <v>Tmf Units</v>
          </cell>
          <cell r="Q215" t="str">
            <v>Trading Managed Fund Units Fully Paid</v>
          </cell>
          <cell r="R215" t="str">
            <v>Magellan Infrastructure Fund</v>
          </cell>
          <cell r="S215">
            <v>0</v>
          </cell>
          <cell r="T215">
            <v>7.6</v>
          </cell>
          <cell r="U215">
            <v>284</v>
          </cell>
          <cell r="V215">
            <v>257</v>
          </cell>
          <cell r="X215" t="str">
            <v>MICH.AXW</v>
          </cell>
          <cell r="Y215">
            <v>273</v>
          </cell>
          <cell r="Z215" t="str">
            <v>MICH.AXW</v>
          </cell>
          <cell r="AA215">
            <v>265</v>
          </cell>
          <cell r="AB215" t="str">
            <v>MICH.AXW</v>
          </cell>
          <cell r="AC215">
            <v>252.99999999999997</v>
          </cell>
          <cell r="AD215" t="str">
            <v>MICH.AXW</v>
          </cell>
          <cell r="AE215">
            <v>226.46668465189404</v>
          </cell>
          <cell r="AF215" t="str">
            <v>MICH.AXW</v>
          </cell>
          <cell r="AG215">
            <v>276</v>
          </cell>
        </row>
        <row r="216">
          <cell r="A216" t="str">
            <v>MIR</v>
          </cell>
          <cell r="B216" t="str">
            <v>MIR.ASX</v>
          </cell>
          <cell r="C216" t="str">
            <v>MIR.ASX</v>
          </cell>
          <cell r="D216">
            <v>427</v>
          </cell>
          <cell r="E216">
            <v>3362926.4950000001</v>
          </cell>
          <cell r="F216">
            <v>269</v>
          </cell>
          <cell r="G216">
            <v>1263327</v>
          </cell>
          <cell r="J216" t="str">
            <v>MIR.ASX</v>
          </cell>
          <cell r="K216" t="str">
            <v>MIR</v>
          </cell>
          <cell r="L216">
            <v>2</v>
          </cell>
          <cell r="M216">
            <v>427008264.30000001</v>
          </cell>
          <cell r="N216">
            <v>158151209</v>
          </cell>
          <cell r="O216">
            <v>37070</v>
          </cell>
          <cell r="P216" t="str">
            <v>Fpo</v>
          </cell>
          <cell r="Q216" t="str">
            <v>Ordinary Fully Paid</v>
          </cell>
          <cell r="R216" t="str">
            <v>Mirrabooka Investments Limited</v>
          </cell>
          <cell r="S216">
            <v>224</v>
          </cell>
          <cell r="T216">
            <v>10</v>
          </cell>
          <cell r="U216">
            <v>294</v>
          </cell>
          <cell r="V216">
            <v>254</v>
          </cell>
          <cell r="X216" t="str">
            <v>MIR.ASX</v>
          </cell>
          <cell r="Y216">
            <v>261</v>
          </cell>
          <cell r="Z216" t="str">
            <v>MIR.ASX</v>
          </cell>
          <cell r="AA216">
            <v>270</v>
          </cell>
          <cell r="AB216" t="str">
            <v>MIR.ASX</v>
          </cell>
          <cell r="AC216">
            <v>260</v>
          </cell>
          <cell r="AD216" t="str">
            <v>MIR.ASX</v>
          </cell>
          <cell r="AE216">
            <v>222.67644725186236</v>
          </cell>
          <cell r="AF216" t="str">
            <v>MIR.ASX</v>
          </cell>
          <cell r="AG216">
            <v>269</v>
          </cell>
        </row>
        <row r="217">
          <cell r="A217" t="str">
            <v>MLT</v>
          </cell>
          <cell r="B217" t="str">
            <v>MLT.ASX</v>
          </cell>
          <cell r="C217" t="str">
            <v>MLT.ASX</v>
          </cell>
          <cell r="D217">
            <v>1424</v>
          </cell>
          <cell r="E217">
            <v>16021454.925000001</v>
          </cell>
          <cell r="F217">
            <v>461.00000000000006</v>
          </cell>
          <cell r="G217">
            <v>3526303</v>
          </cell>
          <cell r="J217" t="str">
            <v>MLT.ASX</v>
          </cell>
          <cell r="K217" t="str">
            <v>MLT</v>
          </cell>
          <cell r="L217">
            <v>2</v>
          </cell>
          <cell r="M217">
            <v>3027585749</v>
          </cell>
          <cell r="N217">
            <v>658170815</v>
          </cell>
          <cell r="O217">
            <v>22753</v>
          </cell>
          <cell r="P217" t="str">
            <v>Fpo</v>
          </cell>
          <cell r="Q217" t="str">
            <v>Ordinary Fully Paid</v>
          </cell>
          <cell r="R217" t="str">
            <v>Milton Corporation Limited</v>
          </cell>
          <cell r="S217">
            <v>405</v>
          </cell>
          <cell r="T217">
            <v>18.8</v>
          </cell>
          <cell r="U217">
            <v>480</v>
          </cell>
          <cell r="V217">
            <v>440</v>
          </cell>
          <cell r="X217" t="str">
            <v>MLT.ASX</v>
          </cell>
          <cell r="Y217">
            <v>451.99999999999994</v>
          </cell>
          <cell r="Z217" t="str">
            <v>MLT.ASX</v>
          </cell>
          <cell r="AA217">
            <v>451</v>
          </cell>
          <cell r="AB217" t="str">
            <v>MLT.ASX</v>
          </cell>
          <cell r="AC217">
            <v>450</v>
          </cell>
          <cell r="AD217" t="str">
            <v>MLT.ASX</v>
          </cell>
          <cell r="AE217">
            <v>367.2643463058244</v>
          </cell>
          <cell r="AF217" t="str">
            <v>MLT.ASX</v>
          </cell>
          <cell r="AG217">
            <v>461.00000000000006</v>
          </cell>
        </row>
        <row r="218">
          <cell r="A218" t="str">
            <v>MNRS</v>
          </cell>
          <cell r="B218" t="str">
            <v>MNRS.AXW</v>
          </cell>
          <cell r="C218" t="str">
            <v>MNRS.AXW</v>
          </cell>
          <cell r="D218">
            <v>71</v>
          </cell>
          <cell r="E218">
            <v>995997.39999999991</v>
          </cell>
          <cell r="F218">
            <v>363</v>
          </cell>
          <cell r="G218">
            <v>272523</v>
          </cell>
          <cell r="J218" t="str">
            <v>MNRS.AXW</v>
          </cell>
          <cell r="K218" t="str">
            <v>MNRS</v>
          </cell>
          <cell r="L218">
            <v>2</v>
          </cell>
          <cell r="M218">
            <v>5110711.75</v>
          </cell>
          <cell r="N218">
            <v>1400195</v>
          </cell>
          <cell r="O218">
            <v>42580</v>
          </cell>
          <cell r="P218" t="str">
            <v>ETF Units</v>
          </cell>
          <cell r="Q218" t="str">
            <v>Exchange Traded Fund Units Fully Paid</v>
          </cell>
          <cell r="R218" t="str">
            <v>Betashares Global Gold Miners ETF</v>
          </cell>
          <cell r="S218">
            <v>0</v>
          </cell>
          <cell r="U218">
            <v>415</v>
          </cell>
          <cell r="V218">
            <v>343</v>
          </cell>
          <cell r="X218" t="str">
            <v>MNRS.AXW</v>
          </cell>
          <cell r="Y218">
            <v>362</v>
          </cell>
          <cell r="Z218" t="str">
            <v>MNRS.AXW</v>
          </cell>
          <cell r="AA218">
            <v>382</v>
          </cell>
          <cell r="AB218" t="str">
            <v>MNRS.AXW</v>
          </cell>
          <cell r="AD218" t="str">
            <v>MNRS.AXW</v>
          </cell>
          <cell r="AF218" t="str">
            <v>MNRS.AXW</v>
          </cell>
          <cell r="AG218">
            <v>363</v>
          </cell>
        </row>
        <row r="219">
          <cell r="A219" t="str">
            <v>MOAT</v>
          </cell>
          <cell r="B219" t="str">
            <v>MOAT.AXW</v>
          </cell>
          <cell r="C219" t="str">
            <v>MOAT.AXW</v>
          </cell>
          <cell r="D219">
            <v>175</v>
          </cell>
          <cell r="E219">
            <v>1717761.57</v>
          </cell>
          <cell r="F219">
            <v>5921</v>
          </cell>
          <cell r="G219">
            <v>29393</v>
          </cell>
          <cell r="J219" t="str">
            <v>MOAT.AXW</v>
          </cell>
          <cell r="K219" t="str">
            <v>MOAT</v>
          </cell>
          <cell r="L219">
            <v>2</v>
          </cell>
          <cell r="M219">
            <v>57935784</v>
          </cell>
          <cell r="N219">
            <v>994800</v>
          </cell>
          <cell r="O219">
            <v>42181</v>
          </cell>
          <cell r="P219" t="str">
            <v>Cdi 1:1</v>
          </cell>
          <cell r="Q219" t="str">
            <v>Exchange Traded Fund Cdis 1:1</v>
          </cell>
          <cell r="R219" t="str">
            <v>Vaneck Vectors Morningstar Wide Moat ETF</v>
          </cell>
          <cell r="S219">
            <v>0</v>
          </cell>
          <cell r="T219">
            <v>49.319200000000002</v>
          </cell>
          <cell r="U219">
            <v>6043</v>
          </cell>
          <cell r="V219">
            <v>4845</v>
          </cell>
          <cell r="X219" t="str">
            <v>MOAT.AXW</v>
          </cell>
          <cell r="Y219">
            <v>5647</v>
          </cell>
          <cell r="Z219" t="str">
            <v>MOAT.AXW</v>
          </cell>
          <cell r="AA219">
            <v>5168</v>
          </cell>
          <cell r="AB219" t="str">
            <v>MOAT.AXW</v>
          </cell>
          <cell r="AC219">
            <v>4020.0000000000005</v>
          </cell>
          <cell r="AD219" t="str">
            <v>MOAT.AXW</v>
          </cell>
          <cell r="AF219" t="str">
            <v>MOAT.AXW</v>
          </cell>
          <cell r="AG219">
            <v>5921</v>
          </cell>
        </row>
        <row r="220">
          <cell r="A220" t="str">
            <v>MONY</v>
          </cell>
          <cell r="B220" t="str">
            <v>MONY.AXW</v>
          </cell>
          <cell r="C220" t="str">
            <v>MONY.AXW</v>
          </cell>
          <cell r="D220">
            <v>2</v>
          </cell>
          <cell r="E220">
            <v>100120.02</v>
          </cell>
          <cell r="F220">
            <v>2002</v>
          </cell>
          <cell r="G220">
            <v>5001</v>
          </cell>
          <cell r="J220" t="str">
            <v>MONY.AXW</v>
          </cell>
          <cell r="K220" t="str">
            <v>MONY</v>
          </cell>
          <cell r="L220">
            <v>2</v>
          </cell>
          <cell r="M220">
            <v>1001140.14</v>
          </cell>
          <cell r="N220">
            <v>50009</v>
          </cell>
          <cell r="O220">
            <v>42881</v>
          </cell>
          <cell r="P220" t="str">
            <v>ETF Units</v>
          </cell>
          <cell r="Q220" t="str">
            <v>Exchange Traded Fund Units Fully Paid</v>
          </cell>
          <cell r="R220" t="str">
            <v>UBS IQ Cash ETF</v>
          </cell>
          <cell r="S220">
            <v>0</v>
          </cell>
          <cell r="T220">
            <v>33.857500000000009</v>
          </cell>
          <cell r="U220">
            <v>2003</v>
          </cell>
          <cell r="V220">
            <v>2000</v>
          </cell>
          <cell r="X220" t="str">
            <v>MONY.AXW</v>
          </cell>
          <cell r="Y220">
            <v>2000</v>
          </cell>
          <cell r="Z220" t="str">
            <v>MONY.AXW</v>
          </cell>
          <cell r="AA220">
            <v>0</v>
          </cell>
          <cell r="AB220" t="str">
            <v>MONY.AXW</v>
          </cell>
          <cell r="AC220">
            <v>323.5876077413559</v>
          </cell>
          <cell r="AD220" t="str">
            <v>MONY.AXW</v>
          </cell>
          <cell r="AE220">
            <v>166.7568039894104</v>
          </cell>
          <cell r="AF220" t="str">
            <v>MONY.AXW</v>
          </cell>
          <cell r="AG220">
            <v>2002</v>
          </cell>
        </row>
        <row r="221">
          <cell r="A221" t="str">
            <v>ALX</v>
          </cell>
          <cell r="B221" t="str">
            <v>ALX.ASX</v>
          </cell>
          <cell r="C221" t="str">
            <v>ALX.ASX</v>
          </cell>
          <cell r="D221">
            <v>110967</v>
          </cell>
          <cell r="E221">
            <v>483932004.76510006</v>
          </cell>
          <cell r="F221">
            <v>643</v>
          </cell>
          <cell r="G221">
            <v>73452856</v>
          </cell>
          <cell r="J221" t="str">
            <v>ALX.ASX</v>
          </cell>
          <cell r="K221" t="str">
            <v>ALX</v>
          </cell>
          <cell r="L221">
            <v>2</v>
          </cell>
          <cell r="M221">
            <v>4227298850</v>
          </cell>
          <cell r="N221">
            <v>669788565</v>
          </cell>
          <cell r="O221">
            <v>40203</v>
          </cell>
          <cell r="P221" t="str">
            <v>Stapled</v>
          </cell>
          <cell r="Q221" t="str">
            <v>Ordinary Stapled Securities</v>
          </cell>
          <cell r="R221" t="str">
            <v>Atlas Arteria</v>
          </cell>
          <cell r="S221">
            <v>-7</v>
          </cell>
          <cell r="T221">
            <v>22</v>
          </cell>
          <cell r="U221">
            <v>694</v>
          </cell>
          <cell r="V221">
            <v>518</v>
          </cell>
          <cell r="X221" t="str">
            <v>ALX.ASX</v>
          </cell>
          <cell r="Y221">
            <v>653</v>
          </cell>
          <cell r="Z221" t="str">
            <v>ALX.ASX</v>
          </cell>
          <cell r="AA221">
            <v>556.84861332178116</v>
          </cell>
          <cell r="AB221" t="str">
            <v>ALX.ASX</v>
          </cell>
          <cell r="AC221">
            <v>315.64680755138397</v>
          </cell>
          <cell r="AD221" t="str">
            <v>ALX.ASX</v>
          </cell>
          <cell r="AE221">
            <v>192.56440460681915</v>
          </cell>
          <cell r="AF221" t="str">
            <v>ALX.ASX</v>
          </cell>
          <cell r="AG221">
            <v>643</v>
          </cell>
        </row>
        <row r="222">
          <cell r="A222" t="str">
            <v>MVA</v>
          </cell>
          <cell r="B222" t="str">
            <v>MVA.AXW</v>
          </cell>
          <cell r="C222" t="str">
            <v>MVA.AXW</v>
          </cell>
          <cell r="D222">
            <v>215</v>
          </cell>
          <cell r="E222">
            <v>4859320.43</v>
          </cell>
          <cell r="F222">
            <v>2100</v>
          </cell>
          <cell r="G222">
            <v>235419</v>
          </cell>
          <cell r="J222" t="str">
            <v>MVA.AXW</v>
          </cell>
          <cell r="K222" t="str">
            <v>MVA</v>
          </cell>
          <cell r="L222">
            <v>2</v>
          </cell>
          <cell r="M222">
            <v>117440814.40000001</v>
          </cell>
          <cell r="N222">
            <v>5646193</v>
          </cell>
          <cell r="O222">
            <v>41563</v>
          </cell>
          <cell r="P222" t="str">
            <v>ETF Units</v>
          </cell>
          <cell r="Q222" t="str">
            <v>Exchange Traded Fund Units Fully Paid</v>
          </cell>
          <cell r="R222" t="str">
            <v>Vaneck Vectors Australian Property ETF</v>
          </cell>
          <cell r="S222">
            <v>0</v>
          </cell>
          <cell r="T222">
            <v>101</v>
          </cell>
          <cell r="U222">
            <v>2196</v>
          </cell>
          <cell r="V222">
            <v>1856</v>
          </cell>
          <cell r="X222" t="str">
            <v>MVA.AXW</v>
          </cell>
          <cell r="Y222">
            <v>2061</v>
          </cell>
          <cell r="Z222" t="str">
            <v>MVA.AXW</v>
          </cell>
          <cell r="AA222">
            <v>1982.9999999999998</v>
          </cell>
          <cell r="AB222" t="str">
            <v>MVA.AXW</v>
          </cell>
          <cell r="AC222">
            <v>1838</v>
          </cell>
          <cell r="AD222" t="str">
            <v>MVA.AXW</v>
          </cell>
          <cell r="AE222">
            <v>165.26790395379066</v>
          </cell>
          <cell r="AF222" t="str">
            <v>MVA.AXW</v>
          </cell>
          <cell r="AG222">
            <v>2100</v>
          </cell>
        </row>
        <row r="223">
          <cell r="A223" t="str">
            <v>MVB</v>
          </cell>
          <cell r="B223" t="str">
            <v>MVB.AXW</v>
          </cell>
          <cell r="C223" t="str">
            <v>MVB.AXW</v>
          </cell>
          <cell r="D223">
            <v>188</v>
          </cell>
          <cell r="E223">
            <v>6929093.29</v>
          </cell>
          <cell r="F223">
            <v>2786</v>
          </cell>
          <cell r="G223">
            <v>255900</v>
          </cell>
          <cell r="J223" t="str">
            <v>MVB.AXW</v>
          </cell>
          <cell r="K223" t="str">
            <v>MVB</v>
          </cell>
          <cell r="L223">
            <v>2</v>
          </cell>
          <cell r="M223">
            <v>32045018.039999999</v>
          </cell>
          <cell r="N223">
            <v>1272284</v>
          </cell>
          <cell r="O223">
            <v>41563</v>
          </cell>
          <cell r="P223" t="str">
            <v>ETF Units</v>
          </cell>
          <cell r="Q223" t="str">
            <v>Exchange Traded Fund Units Fully Paid</v>
          </cell>
          <cell r="R223" t="str">
            <v>Vaneck Vectors Australian Banks ETF</v>
          </cell>
          <cell r="S223">
            <v>0</v>
          </cell>
          <cell r="T223">
            <v>81</v>
          </cell>
          <cell r="U223">
            <v>2874</v>
          </cell>
          <cell r="V223">
            <v>2500</v>
          </cell>
          <cell r="X223" t="str">
            <v>MVB.AXW</v>
          </cell>
          <cell r="Y223">
            <v>2640</v>
          </cell>
          <cell r="Z223" t="str">
            <v>MVB.AXW</v>
          </cell>
          <cell r="AA223">
            <v>2762</v>
          </cell>
          <cell r="AB223" t="str">
            <v>MVB.AXW</v>
          </cell>
          <cell r="AC223">
            <v>2802</v>
          </cell>
          <cell r="AD223" t="str">
            <v>MVB.AXW</v>
          </cell>
          <cell r="AF223" t="str">
            <v>MVB.AXW</v>
          </cell>
          <cell r="AG223">
            <v>2786</v>
          </cell>
        </row>
        <row r="224">
          <cell r="A224" t="str">
            <v>MVE</v>
          </cell>
          <cell r="B224" t="str">
            <v>MVE.AXW</v>
          </cell>
          <cell r="C224" t="str">
            <v>MVE.AXW</v>
          </cell>
          <cell r="D224">
            <v>183</v>
          </cell>
          <cell r="E224">
            <v>6279549.4699999997</v>
          </cell>
          <cell r="F224">
            <v>2828</v>
          </cell>
          <cell r="G224">
            <v>222716</v>
          </cell>
          <cell r="J224" t="str">
            <v>MVE.AXW</v>
          </cell>
          <cell r="K224" t="str">
            <v>MVE</v>
          </cell>
          <cell r="L224">
            <v>2</v>
          </cell>
          <cell r="M224">
            <v>82793847.359999999</v>
          </cell>
          <cell r="N224">
            <v>3132832</v>
          </cell>
          <cell r="O224">
            <v>41563</v>
          </cell>
          <cell r="P224" t="str">
            <v>ETF Units</v>
          </cell>
          <cell r="Q224" t="str">
            <v>Exchange Traded Fund Units Fully Paid</v>
          </cell>
          <cell r="R224" t="str">
            <v>Vaneck Vectors S&amp;P/ASX Midcap ETF</v>
          </cell>
          <cell r="S224">
            <v>0</v>
          </cell>
          <cell r="T224">
            <v>65</v>
          </cell>
          <cell r="U224">
            <v>2878</v>
          </cell>
          <cell r="V224">
            <v>2472</v>
          </cell>
          <cell r="X224" t="str">
            <v>MVE.AXW</v>
          </cell>
          <cell r="Y224">
            <v>2754</v>
          </cell>
          <cell r="Z224" t="str">
            <v>MVE.AXW</v>
          </cell>
          <cell r="AA224">
            <v>2587</v>
          </cell>
          <cell r="AB224" t="str">
            <v>MVE.AXW</v>
          </cell>
          <cell r="AC224">
            <v>721</v>
          </cell>
          <cell r="AD224" t="str">
            <v>MVE.AXW</v>
          </cell>
          <cell r="AF224" t="str">
            <v>MVE.AXW</v>
          </cell>
          <cell r="AG224">
            <v>2828</v>
          </cell>
        </row>
        <row r="225">
          <cell r="A225" t="str">
            <v>MVR</v>
          </cell>
          <cell r="B225" t="str">
            <v>MVR.AXW</v>
          </cell>
          <cell r="C225" t="str">
            <v>MVR.AXW</v>
          </cell>
          <cell r="D225">
            <v>114</v>
          </cell>
          <cell r="E225">
            <v>2271637.1499999994</v>
          </cell>
          <cell r="F225">
            <v>2690</v>
          </cell>
          <cell r="G225">
            <v>85510</v>
          </cell>
          <cell r="J225" t="str">
            <v>MVR.AXW</v>
          </cell>
          <cell r="K225" t="str">
            <v>MVR</v>
          </cell>
          <cell r="L225">
            <v>2</v>
          </cell>
          <cell r="M225">
            <v>92334379.079999998</v>
          </cell>
          <cell r="N225">
            <v>3600166</v>
          </cell>
          <cell r="O225">
            <v>41563</v>
          </cell>
          <cell r="P225" t="str">
            <v>ETF Units</v>
          </cell>
          <cell r="Q225" t="str">
            <v>Exchange Traded Fund Units Fully Paid</v>
          </cell>
          <cell r="R225" t="str">
            <v>Vaneck Vectors Australian Resources ETF</v>
          </cell>
          <cell r="S225">
            <v>0</v>
          </cell>
          <cell r="T225">
            <v>60</v>
          </cell>
          <cell r="U225">
            <v>2708</v>
          </cell>
          <cell r="V225">
            <v>1989</v>
          </cell>
          <cell r="X225" t="str">
            <v>MVR.AXW</v>
          </cell>
          <cell r="Y225">
            <v>2547</v>
          </cell>
          <cell r="Z225" t="str">
            <v>MVR.AXW</v>
          </cell>
          <cell r="AA225">
            <v>2020</v>
          </cell>
          <cell r="AB225" t="str">
            <v>MVR.AXW</v>
          </cell>
          <cell r="AC225">
            <v>1864</v>
          </cell>
          <cell r="AD225" t="str">
            <v>MVR.AXW</v>
          </cell>
          <cell r="AF225" t="str">
            <v>MVR.AXW</v>
          </cell>
          <cell r="AG225">
            <v>2690</v>
          </cell>
        </row>
        <row r="226">
          <cell r="A226" t="str">
            <v>MVS</v>
          </cell>
          <cell r="B226" t="str">
            <v>MVS.AXW</v>
          </cell>
          <cell r="C226" t="str">
            <v>MVS.AXW</v>
          </cell>
          <cell r="D226">
            <v>164</v>
          </cell>
          <cell r="E226">
            <v>5233141.0399999991</v>
          </cell>
          <cell r="F226">
            <v>2091</v>
          </cell>
          <cell r="G226">
            <v>249702</v>
          </cell>
          <cell r="J226" t="str">
            <v>MVS.AXW</v>
          </cell>
          <cell r="K226" t="str">
            <v>MVS</v>
          </cell>
          <cell r="L226">
            <v>2</v>
          </cell>
          <cell r="M226">
            <v>68937379.5</v>
          </cell>
          <cell r="N226">
            <v>3362799</v>
          </cell>
          <cell r="O226">
            <v>42152</v>
          </cell>
          <cell r="P226" t="str">
            <v>ETF Units</v>
          </cell>
          <cell r="Q226" t="str">
            <v>Exchange Traded Fund Units Fully Paid</v>
          </cell>
          <cell r="R226" t="str">
            <v>Vaneck Vectors Small Companies Masters ETF</v>
          </cell>
          <cell r="S226">
            <v>0</v>
          </cell>
          <cell r="T226">
            <v>66</v>
          </cell>
          <cell r="U226">
            <v>2129</v>
          </cell>
          <cell r="V226">
            <v>1766</v>
          </cell>
          <cell r="X226" t="str">
            <v>MVS.AXW</v>
          </cell>
          <cell r="Y226">
            <v>2044.0000000000002</v>
          </cell>
          <cell r="Z226" t="str">
            <v>MVS.AXW</v>
          </cell>
          <cell r="AA226">
            <v>1826.0000000000002</v>
          </cell>
          <cell r="AB226" t="str">
            <v>MVS.AXW</v>
          </cell>
          <cell r="AC226">
            <v>1552</v>
          </cell>
          <cell r="AD226" t="str">
            <v>MVS.AXW</v>
          </cell>
          <cell r="AE226">
            <v>10</v>
          </cell>
          <cell r="AF226" t="str">
            <v>MVS.AXW</v>
          </cell>
          <cell r="AG226">
            <v>2091</v>
          </cell>
        </row>
        <row r="227">
          <cell r="A227" t="str">
            <v>MVT</v>
          </cell>
          <cell r="B227" t="str">
            <v>MVT.ASX</v>
          </cell>
          <cell r="C227" t="str">
            <v>MVT.ASX</v>
          </cell>
          <cell r="D227">
            <v>79</v>
          </cell>
          <cell r="E227">
            <v>95182.15</v>
          </cell>
          <cell r="F227">
            <v>17.5</v>
          </cell>
          <cell r="G227">
            <v>549244</v>
          </cell>
          <cell r="J227" t="str">
            <v>MVT.ASX</v>
          </cell>
          <cell r="K227" t="str">
            <v>MVT</v>
          </cell>
          <cell r="L227">
            <v>2</v>
          </cell>
          <cell r="M227">
            <v>49122500</v>
          </cell>
          <cell r="N227">
            <v>280700000</v>
          </cell>
          <cell r="O227">
            <v>39686</v>
          </cell>
          <cell r="P227" t="str">
            <v>Fpo</v>
          </cell>
          <cell r="Q227" t="str">
            <v>Ordinary Fully Paid</v>
          </cell>
          <cell r="R227" t="str">
            <v>Mercantile Investment Company Ltd</v>
          </cell>
          <cell r="S227">
            <v>18</v>
          </cell>
          <cell r="U227">
            <v>18.5</v>
          </cell>
          <cell r="V227">
            <v>15</v>
          </cell>
          <cell r="X227" t="str">
            <v>MVT.ASX</v>
          </cell>
          <cell r="Y227">
            <v>17</v>
          </cell>
          <cell r="Z227" t="str">
            <v>MVT.ASX</v>
          </cell>
          <cell r="AA227">
            <v>15.5</v>
          </cell>
          <cell r="AB227" t="str">
            <v>MVT.ASX</v>
          </cell>
          <cell r="AC227">
            <v>12.5</v>
          </cell>
          <cell r="AD227" t="str">
            <v>MVT.ASX</v>
          </cell>
          <cell r="AE227">
            <v>9.9</v>
          </cell>
          <cell r="AF227" t="str">
            <v>MVT.ASX</v>
          </cell>
          <cell r="AG227">
            <v>17.5</v>
          </cell>
        </row>
        <row r="228">
          <cell r="A228" t="str">
            <v>MVW</v>
          </cell>
          <cell r="B228" t="str">
            <v>MVW.AXW</v>
          </cell>
          <cell r="C228" t="str">
            <v>MVW.AXW</v>
          </cell>
          <cell r="D228">
            <v>1039</v>
          </cell>
          <cell r="E228">
            <v>34130838.820000008</v>
          </cell>
          <cell r="F228">
            <v>2860</v>
          </cell>
          <cell r="G228">
            <v>1205684</v>
          </cell>
          <cell r="J228" t="str">
            <v>MVW.AXW</v>
          </cell>
          <cell r="K228" t="str">
            <v>MVW</v>
          </cell>
          <cell r="L228">
            <v>2</v>
          </cell>
          <cell r="M228">
            <v>506170198.39999998</v>
          </cell>
          <cell r="N228">
            <v>18322830</v>
          </cell>
          <cell r="O228">
            <v>41704</v>
          </cell>
          <cell r="P228" t="str">
            <v>ETF Units</v>
          </cell>
          <cell r="Q228" t="str">
            <v>Exchange Traded Fund Units Fully Paid</v>
          </cell>
          <cell r="R228" t="str">
            <v>Vaneck Vectors Australian Equal Weight ETF</v>
          </cell>
          <cell r="S228">
            <v>0</v>
          </cell>
          <cell r="T228">
            <v>77</v>
          </cell>
          <cell r="U228">
            <v>2992</v>
          </cell>
          <cell r="V228">
            <v>2539</v>
          </cell>
          <cell r="X228" t="str">
            <v>MVW.AXW</v>
          </cell>
          <cell r="Y228">
            <v>2775</v>
          </cell>
          <cell r="Z228" t="str">
            <v>MVW.AXW</v>
          </cell>
          <cell r="AA228">
            <v>2618</v>
          </cell>
          <cell r="AB228" t="str">
            <v>MVW.AXW</v>
          </cell>
          <cell r="AC228">
            <v>2158</v>
          </cell>
          <cell r="AD228" t="str">
            <v>MVW.AXW</v>
          </cell>
          <cell r="AF228" t="str">
            <v>MVW.AXW</v>
          </cell>
          <cell r="AG228">
            <v>2860</v>
          </cell>
        </row>
        <row r="229">
          <cell r="A229" t="str">
            <v>NAC</v>
          </cell>
          <cell r="B229" t="str">
            <v>NAC.ASX</v>
          </cell>
          <cell r="C229" t="str">
            <v>NAC.ASX</v>
          </cell>
          <cell r="D229">
            <v>131</v>
          </cell>
          <cell r="E229">
            <v>1008549.63</v>
          </cell>
          <cell r="F229">
            <v>95.5</v>
          </cell>
          <cell r="G229">
            <v>1027062</v>
          </cell>
          <cell r="J229" t="str">
            <v>NAC.ASX</v>
          </cell>
          <cell r="K229" t="str">
            <v>NAC</v>
          </cell>
          <cell r="L229">
            <v>2</v>
          </cell>
          <cell r="M229">
            <v>50435413.439999998</v>
          </cell>
          <cell r="N229">
            <v>52536889</v>
          </cell>
          <cell r="O229">
            <v>41955</v>
          </cell>
          <cell r="P229" t="str">
            <v>Fpo</v>
          </cell>
          <cell r="Q229" t="str">
            <v>Ordinary Fully Paid</v>
          </cell>
          <cell r="R229" t="str">
            <v>Naos Absolute Opportunities Company Limited</v>
          </cell>
          <cell r="S229">
            <v>110</v>
          </cell>
          <cell r="T229">
            <v>5.25</v>
          </cell>
          <cell r="U229">
            <v>107.5</v>
          </cell>
          <cell r="V229">
            <v>94</v>
          </cell>
          <cell r="X229" t="str">
            <v>NAC.ASX</v>
          </cell>
          <cell r="Y229">
            <v>99</v>
          </cell>
          <cell r="Z229" t="str">
            <v>NAC.ASX</v>
          </cell>
          <cell r="AA229">
            <v>103.49999999999999</v>
          </cell>
          <cell r="AB229" t="str">
            <v>NAC.ASX</v>
          </cell>
          <cell r="AC229">
            <v>91</v>
          </cell>
          <cell r="AD229" t="str">
            <v>NAC.ASX</v>
          </cell>
          <cell r="AE229">
            <v>94</v>
          </cell>
          <cell r="AF229" t="str">
            <v>NAC.ASX</v>
          </cell>
          <cell r="AG229">
            <v>95.5</v>
          </cell>
        </row>
        <row r="230">
          <cell r="A230" t="str">
            <v>NCC</v>
          </cell>
          <cell r="B230" t="str">
            <v>NCC.ASX</v>
          </cell>
          <cell r="C230" t="str">
            <v>NCC.ASX</v>
          </cell>
          <cell r="D230">
            <v>185</v>
          </cell>
          <cell r="E230">
            <v>1053507.74</v>
          </cell>
          <cell r="F230">
            <v>125.49999999999999</v>
          </cell>
          <cell r="G230">
            <v>856138</v>
          </cell>
          <cell r="J230" t="str">
            <v>NCC.ASX</v>
          </cell>
          <cell r="K230" t="str">
            <v>NCC</v>
          </cell>
          <cell r="L230">
            <v>2</v>
          </cell>
          <cell r="M230">
            <v>75188688.120000005</v>
          </cell>
          <cell r="N230">
            <v>59673562</v>
          </cell>
          <cell r="O230">
            <v>41331</v>
          </cell>
          <cell r="P230" t="str">
            <v>Fpo</v>
          </cell>
          <cell r="Q230" t="str">
            <v>Ordinary Fully Paid</v>
          </cell>
          <cell r="R230" t="str">
            <v>Naos Emerging Opportunities Company Limited</v>
          </cell>
          <cell r="S230">
            <v>123</v>
          </cell>
          <cell r="T230">
            <v>7.25</v>
          </cell>
          <cell r="U230">
            <v>154</v>
          </cell>
          <cell r="V230">
            <v>120</v>
          </cell>
          <cell r="X230" t="str">
            <v>NCC.ASX</v>
          </cell>
          <cell r="Y230">
            <v>125</v>
          </cell>
          <cell r="Z230" t="str">
            <v>NCC.ASX</v>
          </cell>
          <cell r="AA230">
            <v>133</v>
          </cell>
          <cell r="AB230" t="str">
            <v>NCC.ASX</v>
          </cell>
          <cell r="AC230">
            <v>99.5</v>
          </cell>
          <cell r="AD230" t="str">
            <v>NCC.ASX</v>
          </cell>
          <cell r="AE230">
            <v>97</v>
          </cell>
          <cell r="AF230" t="str">
            <v>NCC.ASX</v>
          </cell>
          <cell r="AG230">
            <v>125.49999999999999</v>
          </cell>
        </row>
        <row r="231">
          <cell r="A231" t="str">
            <v>NDQ</v>
          </cell>
          <cell r="B231" t="str">
            <v>NDQ.AXW</v>
          </cell>
          <cell r="C231" t="str">
            <v>NDQ.AXW</v>
          </cell>
          <cell r="D231">
            <v>2196</v>
          </cell>
          <cell r="E231">
            <v>46389504.669999994</v>
          </cell>
          <cell r="F231">
            <v>1661</v>
          </cell>
          <cell r="G231">
            <v>2788958</v>
          </cell>
          <cell r="J231" t="str">
            <v>NDQ.AXW</v>
          </cell>
          <cell r="K231" t="str">
            <v>NDQ</v>
          </cell>
          <cell r="L231">
            <v>2</v>
          </cell>
          <cell r="M231">
            <v>319077247.39999998</v>
          </cell>
          <cell r="N231">
            <v>20506422</v>
          </cell>
          <cell r="O231">
            <v>42150</v>
          </cell>
          <cell r="P231" t="str">
            <v>ETF Units</v>
          </cell>
          <cell r="Q231" t="str">
            <v>Exchange Traded Fund Units Fully Paid</v>
          </cell>
          <cell r="R231" t="str">
            <v>Betashares Nasdaq 100 ETF</v>
          </cell>
          <cell r="S231">
            <v>0</v>
          </cell>
          <cell r="T231">
            <v>8.0845000000000002</v>
          </cell>
          <cell r="U231">
            <v>1730</v>
          </cell>
          <cell r="V231">
            <v>1258</v>
          </cell>
          <cell r="X231" t="str">
            <v>NDQ.AXW</v>
          </cell>
          <cell r="Y231">
            <v>1607</v>
          </cell>
          <cell r="Z231" t="str">
            <v>NDQ.AXW</v>
          </cell>
          <cell r="AA231">
            <v>1274</v>
          </cell>
          <cell r="AB231" t="str">
            <v>NDQ.AXW</v>
          </cell>
          <cell r="AC231">
            <v>994</v>
          </cell>
          <cell r="AD231" t="str">
            <v>NDQ.AXW</v>
          </cell>
          <cell r="AE231">
            <v>44</v>
          </cell>
          <cell r="AF231" t="str">
            <v>NDQ.AXW</v>
          </cell>
          <cell r="AG231">
            <v>1661</v>
          </cell>
        </row>
        <row r="232">
          <cell r="A232" t="str">
            <v>NGE</v>
          </cell>
          <cell r="B232" t="str">
            <v>NGE.ASX</v>
          </cell>
          <cell r="C232" t="str">
            <v>NGE.ASX</v>
          </cell>
          <cell r="D232">
            <v>97</v>
          </cell>
          <cell r="E232">
            <v>181558.96500000003</v>
          </cell>
          <cell r="F232">
            <v>67</v>
          </cell>
          <cell r="G232">
            <v>264761</v>
          </cell>
          <cell r="J232" t="str">
            <v>NGE.ASX</v>
          </cell>
          <cell r="K232" t="str">
            <v>NGE</v>
          </cell>
          <cell r="L232">
            <v>2</v>
          </cell>
          <cell r="M232">
            <v>25006860.239999998</v>
          </cell>
          <cell r="N232">
            <v>37323672</v>
          </cell>
          <cell r="O232">
            <v>39444</v>
          </cell>
          <cell r="P232" t="str">
            <v>Fpo</v>
          </cell>
          <cell r="Q232" t="str">
            <v>Ordinary Fully Paid</v>
          </cell>
          <cell r="R232" t="str">
            <v>NGE Capital Limited</v>
          </cell>
          <cell r="S232">
            <v>80</v>
          </cell>
          <cell r="U232">
            <v>73</v>
          </cell>
          <cell r="V232">
            <v>42</v>
          </cell>
          <cell r="X232" t="str">
            <v>NGE.ASX</v>
          </cell>
          <cell r="Y232">
            <v>69</v>
          </cell>
          <cell r="Z232" t="str">
            <v>NGE.ASX</v>
          </cell>
          <cell r="AA232">
            <v>45</v>
          </cell>
          <cell r="AB232" t="str">
            <v>NGE.ASX</v>
          </cell>
          <cell r="AC232">
            <v>46</v>
          </cell>
          <cell r="AD232" t="str">
            <v>NGE.ASX</v>
          </cell>
          <cell r="AE232">
            <v>34</v>
          </cell>
          <cell r="AF232" t="str">
            <v>NGE.ASX</v>
          </cell>
          <cell r="AG232">
            <v>67</v>
          </cell>
        </row>
        <row r="233">
          <cell r="A233" t="str">
            <v>NSR</v>
          </cell>
          <cell r="B233" t="str">
            <v>NSR.ASX</v>
          </cell>
          <cell r="C233" t="str">
            <v>NSR.ASX</v>
          </cell>
          <cell r="D233">
            <v>34726</v>
          </cell>
          <cell r="E233">
            <v>81251187.443000004</v>
          </cell>
          <cell r="F233">
            <v>164.5</v>
          </cell>
          <cell r="G233">
            <v>50605926</v>
          </cell>
          <cell r="J233" t="str">
            <v>NSR.ASX</v>
          </cell>
          <cell r="K233" t="str">
            <v>NSR</v>
          </cell>
          <cell r="L233">
            <v>2</v>
          </cell>
          <cell r="M233">
            <v>918776900</v>
          </cell>
          <cell r="N233">
            <v>559107042</v>
          </cell>
          <cell r="O233">
            <v>41627</v>
          </cell>
          <cell r="P233" t="str">
            <v>Stapled</v>
          </cell>
          <cell r="Q233" t="str">
            <v>Stapled Security Fully Paid</v>
          </cell>
          <cell r="R233" t="str">
            <v>National Storage REIT</v>
          </cell>
          <cell r="S233">
            <v>141</v>
          </cell>
          <cell r="T233">
            <v>9.6000000000000014</v>
          </cell>
          <cell r="U233">
            <v>170.5</v>
          </cell>
          <cell r="V233">
            <v>143</v>
          </cell>
          <cell r="X233" t="str">
            <v>NSR.ASX</v>
          </cell>
          <cell r="Y233">
            <v>159.5</v>
          </cell>
          <cell r="Z233" t="str">
            <v>NSR.ASX</v>
          </cell>
          <cell r="AA233">
            <v>151</v>
          </cell>
          <cell r="AB233" t="str">
            <v>NSR.ASX</v>
          </cell>
          <cell r="AC233">
            <v>163.24550285935402</v>
          </cell>
          <cell r="AD233" t="str">
            <v>NSR.ASX</v>
          </cell>
          <cell r="AE233">
            <v>25.098149567842484</v>
          </cell>
          <cell r="AF233" t="str">
            <v>NSR.ASX</v>
          </cell>
          <cell r="AG233">
            <v>164.5</v>
          </cell>
        </row>
        <row r="234">
          <cell r="A234" t="str">
            <v>OEQ</v>
          </cell>
          <cell r="B234" t="str">
            <v>OEQ.ASX</v>
          </cell>
          <cell r="C234" t="str">
            <v>OEQ.ASX</v>
          </cell>
          <cell r="D234">
            <v>2</v>
          </cell>
          <cell r="E234">
            <v>2610</v>
          </cell>
          <cell r="F234">
            <v>16</v>
          </cell>
          <cell r="G234">
            <v>16000</v>
          </cell>
          <cell r="J234" t="str">
            <v>OEQ.ASX</v>
          </cell>
          <cell r="K234" t="str">
            <v>OEQ</v>
          </cell>
          <cell r="L234">
            <v>2</v>
          </cell>
          <cell r="M234">
            <v>2850302.24</v>
          </cell>
          <cell r="N234">
            <v>17814389</v>
          </cell>
          <cell r="O234">
            <v>25891</v>
          </cell>
          <cell r="P234" t="str">
            <v>Fpo</v>
          </cell>
          <cell r="Q234" t="str">
            <v>Ordinary Fully Paid</v>
          </cell>
          <cell r="R234" t="str">
            <v>Orion Equities Limited</v>
          </cell>
          <cell r="S234">
            <v>30</v>
          </cell>
          <cell r="T234">
            <v>0</v>
          </cell>
          <cell r="U234">
            <v>21</v>
          </cell>
          <cell r="V234">
            <v>15</v>
          </cell>
          <cell r="X234" t="str">
            <v>OEQ.ASX</v>
          </cell>
          <cell r="Y234">
            <v>16.5</v>
          </cell>
          <cell r="Z234" t="str">
            <v>OEQ.ASX</v>
          </cell>
          <cell r="AA234">
            <v>16.100699722766876</v>
          </cell>
          <cell r="AB234" t="str">
            <v>OEQ.ASX</v>
          </cell>
          <cell r="AC234">
            <v>19.889099657535553</v>
          </cell>
          <cell r="AD234" t="str">
            <v>OEQ.ASX</v>
          </cell>
          <cell r="AE234">
            <v>17.994899690151215</v>
          </cell>
          <cell r="AF234" t="str">
            <v>OEQ.ASX</v>
          </cell>
          <cell r="AG234">
            <v>16</v>
          </cell>
        </row>
        <row r="235">
          <cell r="A235" t="str">
            <v>OOO</v>
          </cell>
          <cell r="B235" t="str">
            <v>OOO.AXW</v>
          </cell>
          <cell r="C235" t="str">
            <v>OOO.AXW</v>
          </cell>
          <cell r="D235">
            <v>265</v>
          </cell>
          <cell r="E235">
            <v>6441372.2800000012</v>
          </cell>
          <cell r="F235">
            <v>2038</v>
          </cell>
          <cell r="G235">
            <v>333614</v>
          </cell>
          <cell r="J235" t="str">
            <v>OOO.AXW</v>
          </cell>
          <cell r="K235" t="str">
            <v>OOO</v>
          </cell>
          <cell r="L235">
            <v>2</v>
          </cell>
          <cell r="M235">
            <v>33002849.52</v>
          </cell>
          <cell r="N235">
            <v>1608326</v>
          </cell>
          <cell r="O235">
            <v>40863</v>
          </cell>
          <cell r="P235" t="str">
            <v>ETF Units</v>
          </cell>
          <cell r="Q235" t="str">
            <v>Exchange Traded Fund Units Fully Paid</v>
          </cell>
          <cell r="R235" t="str">
            <v>Betashares Crude Oil Index ETF-Currency Hedged (Synthetic)</v>
          </cell>
          <cell r="S235">
            <v>0</v>
          </cell>
          <cell r="T235">
            <v>26.2761</v>
          </cell>
          <cell r="U235">
            <v>2052</v>
          </cell>
          <cell r="V235">
            <v>1267</v>
          </cell>
          <cell r="X235" t="str">
            <v>OOO.AXW</v>
          </cell>
          <cell r="Y235">
            <v>1859</v>
          </cell>
          <cell r="Z235" t="str">
            <v>OOO.AXW</v>
          </cell>
          <cell r="AA235">
            <v>1289</v>
          </cell>
          <cell r="AB235" t="str">
            <v>OOO.AXW</v>
          </cell>
          <cell r="AC235">
            <v>2744</v>
          </cell>
          <cell r="AD235" t="str">
            <v>OOO.AXW</v>
          </cell>
          <cell r="AE235">
            <v>4797</v>
          </cell>
          <cell r="AF235" t="str">
            <v>OOO.AXW</v>
          </cell>
          <cell r="AG235">
            <v>2038</v>
          </cell>
        </row>
        <row r="236">
          <cell r="A236" t="str">
            <v>OZF</v>
          </cell>
          <cell r="B236" t="str">
            <v>OZF.AXW</v>
          </cell>
          <cell r="C236" t="str">
            <v>OZF.AXW</v>
          </cell>
          <cell r="D236">
            <v>132</v>
          </cell>
          <cell r="E236">
            <v>2661776.6399999997</v>
          </cell>
          <cell r="F236">
            <v>2002</v>
          </cell>
          <cell r="G236">
            <v>136221</v>
          </cell>
          <cell r="J236" t="str">
            <v>OZF.AXW</v>
          </cell>
          <cell r="K236" t="str">
            <v>OZF</v>
          </cell>
          <cell r="L236">
            <v>2</v>
          </cell>
          <cell r="M236">
            <v>61076143.109999999</v>
          </cell>
          <cell r="N236">
            <v>3125069</v>
          </cell>
          <cell r="O236">
            <v>40646</v>
          </cell>
          <cell r="P236" t="str">
            <v>ETF Units</v>
          </cell>
          <cell r="Q236" t="str">
            <v>Exchange Traded Fund Units Fully Paid</v>
          </cell>
          <cell r="R236" t="str">
            <v>SPDR S&amp;P/ASX 200 Financials Ex A-REIT Fund</v>
          </cell>
          <cell r="S236">
            <v>0</v>
          </cell>
          <cell r="T236">
            <v>95.141499999999994</v>
          </cell>
          <cell r="U236">
            <v>2175</v>
          </cell>
          <cell r="V236">
            <v>1900</v>
          </cell>
          <cell r="X236" t="str">
            <v>OZF.AXW</v>
          </cell>
          <cell r="Y236">
            <v>1942.0000000000002</v>
          </cell>
          <cell r="Z236" t="str">
            <v>OZF.AXW</v>
          </cell>
          <cell r="AA236">
            <v>2072</v>
          </cell>
          <cell r="AB236" t="str">
            <v>OZF.AXW</v>
          </cell>
          <cell r="AC236">
            <v>2093</v>
          </cell>
          <cell r="AD236" t="str">
            <v>OZF.AXW</v>
          </cell>
          <cell r="AE236">
            <v>1819.0000000000002</v>
          </cell>
          <cell r="AF236" t="str">
            <v>OZF.AXW</v>
          </cell>
          <cell r="AG236">
            <v>2002</v>
          </cell>
        </row>
        <row r="237">
          <cell r="A237" t="str">
            <v>OZG</v>
          </cell>
          <cell r="B237" t="str">
            <v>OZG.ASX</v>
          </cell>
          <cell r="C237" t="str">
            <v>OZG.ASX</v>
          </cell>
          <cell r="D237">
            <v>43</v>
          </cell>
          <cell r="E237">
            <v>447177.14</v>
          </cell>
          <cell r="F237">
            <v>18</v>
          </cell>
          <cell r="G237">
            <v>2486944</v>
          </cell>
          <cell r="J237" t="str">
            <v>OZG.ASX</v>
          </cell>
          <cell r="K237" t="str">
            <v>OZG</v>
          </cell>
          <cell r="L237">
            <v>2</v>
          </cell>
          <cell r="M237">
            <v>65956025.174999997</v>
          </cell>
          <cell r="N237">
            <v>356519055</v>
          </cell>
          <cell r="O237">
            <v>39449</v>
          </cell>
          <cell r="P237" t="str">
            <v>Fpo</v>
          </cell>
          <cell r="Q237" t="str">
            <v>Ordinary Fully Paid</v>
          </cell>
          <cell r="R237" t="str">
            <v>Ozgrowth Limited</v>
          </cell>
          <cell r="S237">
            <v>23</v>
          </cell>
          <cell r="T237">
            <v>0.5</v>
          </cell>
          <cell r="U237">
            <v>19</v>
          </cell>
          <cell r="V237">
            <v>15</v>
          </cell>
          <cell r="X237" t="str">
            <v>OZG.ASX</v>
          </cell>
          <cell r="Y237">
            <v>18.5</v>
          </cell>
          <cell r="Z237" t="str">
            <v>OZG.ASX</v>
          </cell>
          <cell r="AA237">
            <v>16</v>
          </cell>
          <cell r="AB237" t="str">
            <v>OZG.ASX</v>
          </cell>
          <cell r="AC237">
            <v>16</v>
          </cell>
          <cell r="AD237" t="str">
            <v>OZG.ASX</v>
          </cell>
          <cell r="AE237">
            <v>16.5</v>
          </cell>
          <cell r="AF237" t="str">
            <v>OZG.ASX</v>
          </cell>
          <cell r="AG237">
            <v>18</v>
          </cell>
        </row>
        <row r="238">
          <cell r="A238" t="str">
            <v>OZR</v>
          </cell>
          <cell r="B238" t="str">
            <v>OZR.AXW</v>
          </cell>
          <cell r="C238" t="str">
            <v>OZR.AXW</v>
          </cell>
          <cell r="D238">
            <v>285</v>
          </cell>
          <cell r="E238">
            <v>6956634.2000000002</v>
          </cell>
          <cell r="F238">
            <v>1110</v>
          </cell>
          <cell r="G238">
            <v>629299</v>
          </cell>
          <cell r="J238" t="str">
            <v>OZR.AXW</v>
          </cell>
          <cell r="K238" t="str">
            <v>OZR</v>
          </cell>
          <cell r="L238">
            <v>2</v>
          </cell>
          <cell r="M238">
            <v>68722053.120000005</v>
          </cell>
          <cell r="N238">
            <v>6622176</v>
          </cell>
          <cell r="O238">
            <v>40646</v>
          </cell>
          <cell r="P238" t="str">
            <v>ETF Units</v>
          </cell>
          <cell r="Q238" t="str">
            <v>Exchange Traded Fund Units Fully Paid</v>
          </cell>
          <cell r="R238" t="str">
            <v>SPDR S&amp;P/ASX 200 Resources Fund</v>
          </cell>
          <cell r="S238">
            <v>0</v>
          </cell>
          <cell r="T238">
            <v>24.0352</v>
          </cell>
          <cell r="U238">
            <v>1134</v>
          </cell>
          <cell r="V238">
            <v>814</v>
          </cell>
          <cell r="X238" t="str">
            <v>OZR.AXW</v>
          </cell>
          <cell r="Y238">
            <v>1063</v>
          </cell>
          <cell r="Z238" t="str">
            <v>OZR.AXW</v>
          </cell>
          <cell r="AA238">
            <v>809</v>
          </cell>
          <cell r="AB238" t="str">
            <v>OZR.AXW</v>
          </cell>
          <cell r="AC238">
            <v>792</v>
          </cell>
          <cell r="AD238" t="str">
            <v>OZR.AXW</v>
          </cell>
          <cell r="AE238">
            <v>865</v>
          </cell>
          <cell r="AF238" t="str">
            <v>OZR.AXW</v>
          </cell>
          <cell r="AG238">
            <v>1110</v>
          </cell>
        </row>
        <row r="239">
          <cell r="A239" t="str">
            <v>PAF</v>
          </cell>
          <cell r="B239" t="str">
            <v>PAF.ASX</v>
          </cell>
          <cell r="C239" t="str">
            <v>PAF.ASX</v>
          </cell>
          <cell r="D239">
            <v>297</v>
          </cell>
          <cell r="E239">
            <v>1957367.3800000001</v>
          </cell>
          <cell r="F239">
            <v>112.99999999999999</v>
          </cell>
          <cell r="G239">
            <v>1628831</v>
          </cell>
          <cell r="J239" t="str">
            <v>PAF.ASX</v>
          </cell>
          <cell r="K239" t="str">
            <v>PAF</v>
          </cell>
          <cell r="L239">
            <v>2</v>
          </cell>
          <cell r="M239">
            <v>65324126.32</v>
          </cell>
          <cell r="N239">
            <v>56313902</v>
          </cell>
          <cell r="O239">
            <v>41781</v>
          </cell>
          <cell r="P239" t="str">
            <v>Fpo</v>
          </cell>
          <cell r="Q239" t="str">
            <v>Ordinary Fully Paid</v>
          </cell>
          <cell r="R239" t="str">
            <v>Pm Capital Asian Opportunities Fund Limited</v>
          </cell>
          <cell r="S239">
            <v>120</v>
          </cell>
          <cell r="T239">
            <v>5</v>
          </cell>
          <cell r="U239">
            <v>138</v>
          </cell>
          <cell r="V239">
            <v>107</v>
          </cell>
          <cell r="X239" t="str">
            <v>PAF.ASX</v>
          </cell>
          <cell r="Y239">
            <v>128</v>
          </cell>
          <cell r="Z239" t="str">
            <v>PAF.ASX</v>
          </cell>
          <cell r="AA239">
            <v>109.00000000000001</v>
          </cell>
          <cell r="AB239" t="str">
            <v>PAF.ASX</v>
          </cell>
          <cell r="AC239">
            <v>95</v>
          </cell>
          <cell r="AD239" t="str">
            <v>PAF.ASX</v>
          </cell>
          <cell r="AE239">
            <v>23.67749959230423</v>
          </cell>
          <cell r="AF239" t="str">
            <v>PAF.ASX</v>
          </cell>
          <cell r="AG239">
            <v>112.99999999999999</v>
          </cell>
        </row>
        <row r="240">
          <cell r="A240" t="str">
            <v>PAI</v>
          </cell>
          <cell r="B240" t="str">
            <v>PAI.ASX</v>
          </cell>
          <cell r="C240" t="str">
            <v>PAI.ASX</v>
          </cell>
          <cell r="D240">
            <v>1559</v>
          </cell>
          <cell r="E240">
            <v>7582308.4349999996</v>
          </cell>
          <cell r="F240">
            <v>126</v>
          </cell>
          <cell r="G240">
            <v>5858562</v>
          </cell>
          <cell r="J240" t="str">
            <v>PAI.ASX</v>
          </cell>
          <cell r="K240" t="str">
            <v>PAI</v>
          </cell>
          <cell r="L240">
            <v>2</v>
          </cell>
          <cell r="M240">
            <v>453604528.44</v>
          </cell>
          <cell r="N240">
            <v>360003594</v>
          </cell>
          <cell r="O240">
            <v>42268</v>
          </cell>
          <cell r="P240" t="str">
            <v>Fpo</v>
          </cell>
          <cell r="Q240" t="str">
            <v>Ordinary Fully Paid</v>
          </cell>
          <cell r="R240" t="str">
            <v>Platinum Asia Investments Limited</v>
          </cell>
          <cell r="S240">
            <v>119</v>
          </cell>
          <cell r="T240">
            <v>5</v>
          </cell>
          <cell r="U240">
            <v>139.5</v>
          </cell>
          <cell r="V240">
            <v>101</v>
          </cell>
          <cell r="X240" t="str">
            <v>PAI.ASX</v>
          </cell>
          <cell r="Y240">
            <v>128</v>
          </cell>
          <cell r="Z240" t="str">
            <v>PAI.ASX</v>
          </cell>
          <cell r="AA240">
            <v>101.49999999999999</v>
          </cell>
          <cell r="AB240" t="str">
            <v>PAI.ASX</v>
          </cell>
          <cell r="AC240">
            <v>105.5</v>
          </cell>
          <cell r="AD240" t="str">
            <v>PAI.ASX</v>
          </cell>
          <cell r="AE240">
            <v>4687</v>
          </cell>
          <cell r="AF240" t="str">
            <v>PAI.ASX</v>
          </cell>
          <cell r="AG240">
            <v>126</v>
          </cell>
        </row>
        <row r="241">
          <cell r="A241" t="str">
            <v>PGF</v>
          </cell>
          <cell r="B241" t="str">
            <v>PGF.ASX</v>
          </cell>
          <cell r="C241" t="str">
            <v>PGF.ASX</v>
          </cell>
          <cell r="D241">
            <v>888</v>
          </cell>
          <cell r="E241">
            <v>5630585.7850000001</v>
          </cell>
          <cell r="F241">
            <v>133</v>
          </cell>
          <cell r="G241">
            <v>4359399</v>
          </cell>
          <cell r="J241" t="str">
            <v>PGF.ASX</v>
          </cell>
          <cell r="K241" t="str">
            <v>PGF</v>
          </cell>
          <cell r="L241">
            <v>2</v>
          </cell>
          <cell r="M241">
            <v>456182970.10000002</v>
          </cell>
          <cell r="N241">
            <v>350909977</v>
          </cell>
          <cell r="O241">
            <v>41620</v>
          </cell>
          <cell r="P241" t="str">
            <v>Fpo</v>
          </cell>
          <cell r="Q241" t="str">
            <v>Ordinary Fully Paid</v>
          </cell>
          <cell r="R241" t="str">
            <v>Pm Capital Global Opportunities Fund Limited</v>
          </cell>
          <cell r="S241">
            <v>127</v>
          </cell>
          <cell r="T241">
            <v>3.6</v>
          </cell>
          <cell r="U241">
            <v>133</v>
          </cell>
          <cell r="V241">
            <v>104.5</v>
          </cell>
          <cell r="X241" t="str">
            <v>PGF.ASX</v>
          </cell>
          <cell r="Y241">
            <v>126</v>
          </cell>
          <cell r="Z241" t="str">
            <v>PGF.ASX</v>
          </cell>
          <cell r="AA241">
            <v>110.5</v>
          </cell>
          <cell r="AB241" t="str">
            <v>PGF.ASX</v>
          </cell>
          <cell r="AC241">
            <v>102</v>
          </cell>
          <cell r="AD241" t="str">
            <v>PGF.ASX</v>
          </cell>
          <cell r="AE241">
            <v>1579</v>
          </cell>
          <cell r="AF241" t="str">
            <v>PGF.ASX</v>
          </cell>
          <cell r="AG241">
            <v>133</v>
          </cell>
        </row>
        <row r="242">
          <cell r="A242" t="str">
            <v>PIC</v>
          </cell>
          <cell r="B242" t="str">
            <v>PIC.ASX</v>
          </cell>
          <cell r="C242" t="str">
            <v>PIC.ASX</v>
          </cell>
          <cell r="D242">
            <v>560</v>
          </cell>
          <cell r="E242">
            <v>4264456.3899999997</v>
          </cell>
          <cell r="F242">
            <v>117</v>
          </cell>
          <cell r="G242">
            <v>3724820</v>
          </cell>
          <cell r="J242" t="str">
            <v>PIC.ASX</v>
          </cell>
          <cell r="K242" t="str">
            <v>PIC</v>
          </cell>
          <cell r="L242">
            <v>2</v>
          </cell>
          <cell r="M242">
            <v>300242652.68000001</v>
          </cell>
          <cell r="N242">
            <v>254442926</v>
          </cell>
          <cell r="O242">
            <v>41991</v>
          </cell>
          <cell r="P242" t="str">
            <v>Fpo</v>
          </cell>
          <cell r="Q242" t="str">
            <v>Ordinary Fully Paid</v>
          </cell>
          <cell r="R242" t="str">
            <v>Perpetual Equity Investment Company Limited</v>
          </cell>
          <cell r="S242">
            <v>112</v>
          </cell>
          <cell r="T242">
            <v>5.5</v>
          </cell>
          <cell r="U242">
            <v>119</v>
          </cell>
          <cell r="V242">
            <v>103</v>
          </cell>
          <cell r="X242" t="str">
            <v>PIC.ASX</v>
          </cell>
          <cell r="Y242">
            <v>113.99999999999999</v>
          </cell>
          <cell r="Z242" t="str">
            <v>PIC.ASX</v>
          </cell>
          <cell r="AA242">
            <v>103.49999999999999</v>
          </cell>
          <cell r="AB242" t="str">
            <v>PIC.ASX</v>
          </cell>
          <cell r="AC242">
            <v>95</v>
          </cell>
          <cell r="AD242" t="str">
            <v>PIC.ASX</v>
          </cell>
          <cell r="AE242">
            <v>18</v>
          </cell>
          <cell r="AF242" t="str">
            <v>PIC.ASX</v>
          </cell>
          <cell r="AG242">
            <v>117</v>
          </cell>
        </row>
        <row r="243">
          <cell r="A243" t="str">
            <v>PAXX</v>
          </cell>
          <cell r="B243" t="str">
            <v>PAXX.AXW</v>
          </cell>
          <cell r="C243" t="str">
            <v>PAXX.AXW</v>
          </cell>
          <cell r="D243">
            <v>612</v>
          </cell>
          <cell r="E243">
            <v>12720772.630000003</v>
          </cell>
          <cell r="F243">
            <v>449</v>
          </cell>
          <cell r="G243">
            <v>2397518</v>
          </cell>
          <cell r="J243" t="str">
            <v>PAXX.AXW</v>
          </cell>
          <cell r="K243" t="str">
            <v>PAXX</v>
          </cell>
          <cell r="L243">
            <v>2</v>
          </cell>
          <cell r="M243">
            <v>82267539.200000003</v>
          </cell>
          <cell r="N243">
            <v>20538536</v>
          </cell>
          <cell r="O243">
            <v>42992</v>
          </cell>
          <cell r="P243" t="str">
            <v>Tmf Units</v>
          </cell>
          <cell r="Q243" t="str">
            <v>Trading Managed Units Fully Paid</v>
          </cell>
          <cell r="R243" t="str">
            <v>Platinum Asia Fund (Quoted Managed Hedge Fund)</v>
          </cell>
          <cell r="S243">
            <v>0</v>
          </cell>
          <cell r="T243">
            <v>103.8241</v>
          </cell>
          <cell r="U243">
            <v>593</v>
          </cell>
          <cell r="V243">
            <v>434</v>
          </cell>
          <cell r="X243" t="str">
            <v>PAXX.AXW</v>
          </cell>
          <cell r="Y243">
            <v>565</v>
          </cell>
          <cell r="Z243" t="str">
            <v>PAXX.AXW</v>
          </cell>
          <cell r="AA243">
            <v>825</v>
          </cell>
          <cell r="AB243" t="str">
            <v>PAXX.AXW</v>
          </cell>
          <cell r="AC243">
            <v>828.99999999999989</v>
          </cell>
          <cell r="AD243" t="str">
            <v>PAXX.AXW</v>
          </cell>
          <cell r="AE243">
            <v>1049</v>
          </cell>
          <cell r="AF243" t="str">
            <v>PAXX.AXW</v>
          </cell>
          <cell r="AG243">
            <v>449</v>
          </cell>
        </row>
        <row r="244">
          <cell r="A244" t="str">
            <v>PIXX</v>
          </cell>
          <cell r="B244" t="str">
            <v>PIXX.AXW</v>
          </cell>
          <cell r="C244" t="str">
            <v>PIXX.AXW</v>
          </cell>
          <cell r="D244">
            <v>913</v>
          </cell>
          <cell r="E244">
            <v>24709116.649999999</v>
          </cell>
          <cell r="F244">
            <v>480.99999999999994</v>
          </cell>
          <cell r="G244">
            <v>4530787</v>
          </cell>
          <cell r="J244" t="str">
            <v>PIXX.AXW</v>
          </cell>
          <cell r="K244" t="str">
            <v>PIXX</v>
          </cell>
          <cell r="L244">
            <v>2</v>
          </cell>
          <cell r="M244">
            <v>193367400</v>
          </cell>
          <cell r="N244">
            <v>43840721</v>
          </cell>
          <cell r="O244">
            <v>42992</v>
          </cell>
          <cell r="P244" t="str">
            <v>Tmf Units</v>
          </cell>
          <cell r="Q244" t="str">
            <v>Trading Managed Fund Units Fully Paid</v>
          </cell>
          <cell r="R244" t="str">
            <v>Platinum International Fund (Quoted Managed Hedge Fund)</v>
          </cell>
          <cell r="S244">
            <v>0</v>
          </cell>
          <cell r="T244">
            <v>62.779200000000003</v>
          </cell>
          <cell r="U244">
            <v>575</v>
          </cell>
          <cell r="V244">
            <v>478</v>
          </cell>
          <cell r="X244" t="str">
            <v>PIXX.AXW</v>
          </cell>
          <cell r="Y244">
            <v>554</v>
          </cell>
          <cell r="Z244" t="str">
            <v>PIXX.AXW</v>
          </cell>
          <cell r="AA244">
            <v>94.5</v>
          </cell>
          <cell r="AB244" t="str">
            <v>PIXX.AXW</v>
          </cell>
          <cell r="AC244">
            <v>96</v>
          </cell>
          <cell r="AD244" t="str">
            <v>PIXX.AXW</v>
          </cell>
          <cell r="AF244" t="str">
            <v>PIXX.AXW</v>
          </cell>
          <cell r="AG244">
            <v>480.99999999999994</v>
          </cell>
        </row>
        <row r="245">
          <cell r="A245" t="str">
            <v>PLUS</v>
          </cell>
          <cell r="B245" t="str">
            <v>PLUS.AXW</v>
          </cell>
          <cell r="C245" t="str">
            <v>PLUS.AXW</v>
          </cell>
          <cell r="D245">
            <v>494</v>
          </cell>
          <cell r="E245">
            <v>12410015.115</v>
          </cell>
          <cell r="F245">
            <v>1750</v>
          </cell>
          <cell r="G245">
            <v>711296</v>
          </cell>
          <cell r="J245" t="str">
            <v>PLUS.AXW</v>
          </cell>
          <cell r="K245" t="str">
            <v>PLUS</v>
          </cell>
          <cell r="L245">
            <v>2</v>
          </cell>
          <cell r="M245">
            <v>186804602.38</v>
          </cell>
          <cell r="N245">
            <v>11168251</v>
          </cell>
          <cell r="O245">
            <v>42866</v>
          </cell>
          <cell r="P245" t="str">
            <v>ETF Units</v>
          </cell>
          <cell r="Q245" t="str">
            <v>Exchange Traded Fund Units Fully Paid</v>
          </cell>
          <cell r="R245" t="str">
            <v>Vaneck Vectors Aust Corp Bond Plus ETF</v>
          </cell>
          <cell r="S245">
            <v>0</v>
          </cell>
          <cell r="T245">
            <v>62</v>
          </cell>
          <cell r="U245">
            <v>1766</v>
          </cell>
          <cell r="V245">
            <v>1723</v>
          </cell>
          <cell r="X245" t="str">
            <v>PLUS.AXW</v>
          </cell>
          <cell r="Y245">
            <v>1747</v>
          </cell>
          <cell r="Z245" t="str">
            <v>PLUS.AXW</v>
          </cell>
          <cell r="AA245">
            <v>1730</v>
          </cell>
          <cell r="AB245" t="str">
            <v>PLUS.AXW</v>
          </cell>
          <cell r="AC245">
            <v>177.5</v>
          </cell>
          <cell r="AD245" t="str">
            <v>PLUS.AXW</v>
          </cell>
          <cell r="AE245">
            <v>124.35794749855994</v>
          </cell>
          <cell r="AF245" t="str">
            <v>PLUS.AXW</v>
          </cell>
          <cell r="AG245">
            <v>1750</v>
          </cell>
        </row>
        <row r="246">
          <cell r="A246" t="str">
            <v>PMC</v>
          </cell>
          <cell r="B246" t="str">
            <v>PMC.ASX</v>
          </cell>
          <cell r="C246" t="str">
            <v>PMC.ASX</v>
          </cell>
          <cell r="D246">
            <v>1613</v>
          </cell>
          <cell r="E246">
            <v>13091947.380000001</v>
          </cell>
          <cell r="F246">
            <v>209</v>
          </cell>
          <cell r="G246">
            <v>6368947</v>
          </cell>
          <cell r="J246" t="str">
            <v>PMC.ASX</v>
          </cell>
          <cell r="K246" t="str">
            <v>PMC</v>
          </cell>
          <cell r="L246">
            <v>2</v>
          </cell>
          <cell r="M246">
            <v>583278899.15999997</v>
          </cell>
          <cell r="N246">
            <v>285921029</v>
          </cell>
          <cell r="O246">
            <v>34514</v>
          </cell>
          <cell r="P246" t="str">
            <v>Fpo</v>
          </cell>
          <cell r="Q246" t="str">
            <v>Ordinary Fully Paid</v>
          </cell>
          <cell r="R246" t="str">
            <v>Platinum Capital Limited</v>
          </cell>
          <cell r="S246">
            <v>167</v>
          </cell>
          <cell r="T246">
            <v>10</v>
          </cell>
          <cell r="U246">
            <v>217</v>
          </cell>
          <cell r="V246">
            <v>160.5</v>
          </cell>
          <cell r="X246" t="str">
            <v>PMC.ASX</v>
          </cell>
          <cell r="Y246">
            <v>204</v>
          </cell>
          <cell r="Z246" t="str">
            <v>PMC.ASX</v>
          </cell>
          <cell r="AA246">
            <v>168.5</v>
          </cell>
          <cell r="AB246" t="str">
            <v>PMC.ASX</v>
          </cell>
          <cell r="AC246">
            <v>177</v>
          </cell>
          <cell r="AD246" t="str">
            <v>PMC.ASX</v>
          </cell>
          <cell r="AE246">
            <v>143.68049710988998</v>
          </cell>
          <cell r="AF246" t="str">
            <v>PMC.ASX</v>
          </cell>
          <cell r="AG246">
            <v>209</v>
          </cell>
        </row>
        <row r="247">
          <cell r="A247" t="str">
            <v>PMGOLD</v>
          </cell>
          <cell r="B247" t="str">
            <v>PMGOLD.AXW</v>
          </cell>
          <cell r="C247" t="str">
            <v>PMGOLD.AXW</v>
          </cell>
          <cell r="D247">
            <v>211</v>
          </cell>
          <cell r="E247">
            <v>3552361.2400000007</v>
          </cell>
          <cell r="F247">
            <v>1695</v>
          </cell>
          <cell r="G247">
            <v>207516</v>
          </cell>
          <cell r="J247" t="str">
            <v>PMGOLD.AXW</v>
          </cell>
          <cell r="K247" t="str">
            <v>PMGOLD</v>
          </cell>
          <cell r="L247">
            <v>2</v>
          </cell>
          <cell r="M247">
            <v>5404415000</v>
          </cell>
          <cell r="N247">
            <v>7819601</v>
          </cell>
          <cell r="O247">
            <v>40541</v>
          </cell>
          <cell r="P247" t="str">
            <v>Gcbcs</v>
          </cell>
          <cell r="Q247" t="str">
            <v>Gold Corp 0.00 ZAU Call Str.Prod A</v>
          </cell>
          <cell r="R247" t="str">
            <v>Gold</v>
          </cell>
          <cell r="U247">
            <v>1769</v>
          </cell>
          <cell r="V247">
            <v>1560</v>
          </cell>
          <cell r="X247" t="str">
            <v>PMGOLD.AXW</v>
          </cell>
          <cell r="Y247">
            <v>1729</v>
          </cell>
          <cell r="Z247" t="str">
            <v>PMGOLD.AXW</v>
          </cell>
          <cell r="AA247">
            <v>1612</v>
          </cell>
          <cell r="AB247" t="str">
            <v>PMGOLD.AXW</v>
          </cell>
          <cell r="AC247">
            <v>1525</v>
          </cell>
          <cell r="AD247" t="str">
            <v>PMGOLD.AXW</v>
          </cell>
          <cell r="AE247">
            <v>1295</v>
          </cell>
          <cell r="AF247" t="str">
            <v>PMGOLD.AXW</v>
          </cell>
          <cell r="AG247">
            <v>1695</v>
          </cell>
        </row>
        <row r="248">
          <cell r="A248" t="str">
            <v>VDCO</v>
          </cell>
          <cell r="B248" t="str">
            <v>VDCO.AXW</v>
          </cell>
          <cell r="C248" t="str">
            <v>VDCO.AXW</v>
          </cell>
          <cell r="D248">
            <v>34</v>
          </cell>
          <cell r="E248">
            <v>2358718.9899999998</v>
          </cell>
          <cell r="F248">
            <v>5090</v>
          </cell>
          <cell r="G248">
            <v>46541</v>
          </cell>
          <cell r="J248" t="str">
            <v>VDCO.AXW</v>
          </cell>
          <cell r="K248" t="str">
            <v>VDCO</v>
          </cell>
          <cell r="L248">
            <v>2</v>
          </cell>
          <cell r="M248">
            <v>7638434.5800000001</v>
          </cell>
          <cell r="N248">
            <v>190038</v>
          </cell>
          <cell r="O248">
            <v>43061</v>
          </cell>
          <cell r="P248" t="str">
            <v>ETF Units</v>
          </cell>
          <cell r="Q248" t="str">
            <v>Exchange Traded Fund Units Fully Paid</v>
          </cell>
          <cell r="R248" t="str">
            <v>Vanguard Diversified Conservative Index ETF</v>
          </cell>
          <cell r="S248">
            <v>0</v>
          </cell>
          <cell r="T248">
            <v>33.754599999999996</v>
          </cell>
          <cell r="U248">
            <v>5101</v>
          </cell>
          <cell r="V248">
            <v>4934</v>
          </cell>
          <cell r="X248" t="str">
            <v>VDCO.AXW</v>
          </cell>
          <cell r="Y248">
            <v>5049</v>
          </cell>
          <cell r="Z248" t="str">
            <v>VDCO.AXW</v>
          </cell>
          <cell r="AA248">
            <v>99</v>
          </cell>
          <cell r="AB248" t="str">
            <v>VDCO.AXW</v>
          </cell>
          <cell r="AC248">
            <v>98</v>
          </cell>
          <cell r="AD248" t="str">
            <v>VDCO.AXW</v>
          </cell>
          <cell r="AF248" t="str">
            <v>VDCO.AXW</v>
          </cell>
          <cell r="AG248">
            <v>5090</v>
          </cell>
        </row>
        <row r="249">
          <cell r="A249" t="str">
            <v>VDBA</v>
          </cell>
          <cell r="B249" t="str">
            <v>VDBA.AXW</v>
          </cell>
          <cell r="C249" t="str">
            <v>VDBA.AXW</v>
          </cell>
          <cell r="D249">
            <v>97</v>
          </cell>
          <cell r="E249">
            <v>4764523.18</v>
          </cell>
          <cell r="F249">
            <v>5140</v>
          </cell>
          <cell r="G249">
            <v>93070</v>
          </cell>
          <cell r="J249" t="str">
            <v>VDBA.AXW</v>
          </cell>
          <cell r="K249" t="str">
            <v>VDBA</v>
          </cell>
          <cell r="L249">
            <v>2</v>
          </cell>
          <cell r="M249">
            <v>19550291.620000001</v>
          </cell>
          <cell r="N249">
            <v>460134</v>
          </cell>
          <cell r="O249">
            <v>43061</v>
          </cell>
          <cell r="P249" t="str">
            <v>ETF Units</v>
          </cell>
          <cell r="Q249" t="str">
            <v>Exchange Traded Fund Units Fully Paid</v>
          </cell>
          <cell r="R249" t="str">
            <v>Vanguard Diversified Balanced Index ETF</v>
          </cell>
          <cell r="S249">
            <v>0</v>
          </cell>
          <cell r="T249">
            <v>37.729399999999998</v>
          </cell>
          <cell r="U249">
            <v>5168</v>
          </cell>
          <cell r="V249">
            <v>4918</v>
          </cell>
          <cell r="X249" t="str">
            <v>VDBA.AXW</v>
          </cell>
          <cell r="Y249">
            <v>5075</v>
          </cell>
          <cell r="Z249" t="str">
            <v>VDBA.AXW</v>
          </cell>
          <cell r="AB249" t="str">
            <v>VDBA.AXW</v>
          </cell>
          <cell r="AD249" t="str">
            <v>VDBA.AXW</v>
          </cell>
          <cell r="AF249" t="str">
            <v>VDBA.AXW</v>
          </cell>
          <cell r="AG249">
            <v>5140</v>
          </cell>
        </row>
        <row r="250">
          <cell r="A250" t="str">
            <v>VDGR</v>
          </cell>
          <cell r="B250" t="str">
            <v>VDGR.AXW</v>
          </cell>
          <cell r="C250" t="str">
            <v>VDGR.AXW</v>
          </cell>
          <cell r="D250">
            <v>205</v>
          </cell>
          <cell r="E250">
            <v>7017197.2299999995</v>
          </cell>
          <cell r="F250">
            <v>5180</v>
          </cell>
          <cell r="G250">
            <v>135818</v>
          </cell>
          <cell r="J250" t="str">
            <v>VDGR.AXW</v>
          </cell>
          <cell r="K250" t="str">
            <v>VDGR</v>
          </cell>
          <cell r="L250">
            <v>2</v>
          </cell>
          <cell r="M250">
            <v>26613075.699999999</v>
          </cell>
          <cell r="N250">
            <v>645258</v>
          </cell>
          <cell r="O250">
            <v>43061</v>
          </cell>
          <cell r="P250" t="str">
            <v>ETF Units</v>
          </cell>
          <cell r="Q250" t="str">
            <v>Exchange Traded Fund Units Fully Paid</v>
          </cell>
          <cell r="R250" t="str">
            <v>Vanguard Diversified Growth Index ETF</v>
          </cell>
          <cell r="S250">
            <v>0</v>
          </cell>
          <cell r="T250">
            <v>72.092600000000004</v>
          </cell>
          <cell r="U250">
            <v>5228</v>
          </cell>
          <cell r="V250">
            <v>4875</v>
          </cell>
          <cell r="X250" t="str">
            <v>VDGR.AXW</v>
          </cell>
          <cell r="Y250">
            <v>5095</v>
          </cell>
          <cell r="Z250" t="str">
            <v>VDGR.AXW</v>
          </cell>
          <cell r="AB250" t="str">
            <v>VDGR.AXW</v>
          </cell>
          <cell r="AD250" t="str">
            <v>VDGR.AXW</v>
          </cell>
          <cell r="AF250" t="str">
            <v>VDGR.AXW</v>
          </cell>
          <cell r="AG250">
            <v>5180</v>
          </cell>
        </row>
        <row r="251">
          <cell r="A251" t="str">
            <v>VDHG</v>
          </cell>
          <cell r="B251" t="str">
            <v>VDHG.AXW</v>
          </cell>
          <cell r="C251" t="str">
            <v>VDHG.AXW</v>
          </cell>
          <cell r="D251">
            <v>471</v>
          </cell>
          <cell r="E251">
            <v>6242900.9300000006</v>
          </cell>
          <cell r="F251">
            <v>5232</v>
          </cell>
          <cell r="G251">
            <v>119641</v>
          </cell>
          <cell r="J251" t="str">
            <v>VDHG.AXW</v>
          </cell>
          <cell r="K251" t="str">
            <v>VDHG</v>
          </cell>
          <cell r="L251">
            <v>2</v>
          </cell>
          <cell r="M251">
            <v>60018183.399999999</v>
          </cell>
          <cell r="N251">
            <v>1240876</v>
          </cell>
          <cell r="O251">
            <v>43061</v>
          </cell>
          <cell r="P251" t="str">
            <v>ETF Units</v>
          </cell>
          <cell r="Q251" t="str">
            <v>Exchange Traded Fund Units Fully Paid</v>
          </cell>
          <cell r="R251" t="str">
            <v>Vanguard Diversified High Growth Index ETF</v>
          </cell>
          <cell r="S251">
            <v>0</v>
          </cell>
          <cell r="T251">
            <v>84.748099999999994</v>
          </cell>
          <cell r="U251">
            <v>5294</v>
          </cell>
          <cell r="V251">
            <v>4838</v>
          </cell>
          <cell r="X251" t="str">
            <v>VDHG.AXW</v>
          </cell>
          <cell r="Y251">
            <v>5135</v>
          </cell>
          <cell r="Z251" t="str">
            <v>VDHG.AXW</v>
          </cell>
          <cell r="AA251">
            <v>78</v>
          </cell>
          <cell r="AB251" t="str">
            <v>VDHG.AXW</v>
          </cell>
          <cell r="AD251" t="str">
            <v>VDHG.AXW</v>
          </cell>
          <cell r="AF251" t="str">
            <v>VDHG.AXW</v>
          </cell>
          <cell r="AG251">
            <v>5232</v>
          </cell>
        </row>
        <row r="252">
          <cell r="A252" t="str">
            <v>FAIR</v>
          </cell>
          <cell r="B252" t="str">
            <v>FAIR.AXW</v>
          </cell>
          <cell r="C252" t="str">
            <v>FAIR.AXW</v>
          </cell>
          <cell r="D252">
            <v>290</v>
          </cell>
          <cell r="E252">
            <v>41734986.980000004</v>
          </cell>
          <cell r="F252">
            <v>1594</v>
          </cell>
          <cell r="G252">
            <v>2617005</v>
          </cell>
          <cell r="J252" t="str">
            <v>FAIR.AXW</v>
          </cell>
          <cell r="K252" t="str">
            <v>FAIR</v>
          </cell>
          <cell r="L252">
            <v>2</v>
          </cell>
          <cell r="M252">
            <v>131389569.88</v>
          </cell>
          <cell r="N252">
            <v>10300036</v>
          </cell>
          <cell r="O252">
            <v>43068</v>
          </cell>
          <cell r="P252" t="str">
            <v>ETF Units</v>
          </cell>
          <cell r="Q252" t="str">
            <v>Exchange Traded Fund Units Fully Paid</v>
          </cell>
          <cell r="R252" t="str">
            <v>Betashares Australian Sustainability Leaders ETF</v>
          </cell>
          <cell r="S252">
            <v>0</v>
          </cell>
          <cell r="T252">
            <v>18.8992</v>
          </cell>
          <cell r="U252">
            <v>1628</v>
          </cell>
          <cell r="V252">
            <v>1443</v>
          </cell>
          <cell r="X252" t="str">
            <v>FAIR.AXW</v>
          </cell>
          <cell r="Y252">
            <v>1553</v>
          </cell>
          <cell r="Z252" t="str">
            <v>FAIR.AXW</v>
          </cell>
          <cell r="AB252" t="str">
            <v>FAIR.AXW</v>
          </cell>
          <cell r="AD252" t="str">
            <v>FAIR.AXW</v>
          </cell>
          <cell r="AF252" t="str">
            <v>FAIR.AXW</v>
          </cell>
          <cell r="AG252">
            <v>1594</v>
          </cell>
        </row>
        <row r="253">
          <cell r="A253" t="str">
            <v>HBRD</v>
          </cell>
          <cell r="B253" t="str">
            <v>HBRD.AXW</v>
          </cell>
          <cell r="C253" t="str">
            <v>HBRD.AXW</v>
          </cell>
          <cell r="D253">
            <v>314</v>
          </cell>
          <cell r="E253">
            <v>12253430.319999997</v>
          </cell>
          <cell r="F253">
            <v>999</v>
          </cell>
          <cell r="G253">
            <v>1234033</v>
          </cell>
          <cell r="J253" t="str">
            <v>HBRD.AXW</v>
          </cell>
          <cell r="K253" t="str">
            <v>HBRD</v>
          </cell>
          <cell r="L253">
            <v>2</v>
          </cell>
          <cell r="M253">
            <v>90000870.719999999</v>
          </cell>
          <cell r="N253">
            <v>10019856</v>
          </cell>
          <cell r="O253">
            <v>43056</v>
          </cell>
          <cell r="P253" t="str">
            <v>Tmf Units</v>
          </cell>
          <cell r="Q253" t="str">
            <v>Trading Managed Units Fully Paid</v>
          </cell>
          <cell r="R253" t="str">
            <v>Betashares Active Australian Hybrids Fund (Managed Fund)</v>
          </cell>
          <cell r="S253">
            <v>0</v>
          </cell>
          <cell r="T253">
            <v>23.949199999999998</v>
          </cell>
          <cell r="U253">
            <v>1018</v>
          </cell>
          <cell r="V253">
            <v>983</v>
          </cell>
          <cell r="X253" t="str">
            <v>HBRD.AXW</v>
          </cell>
          <cell r="Y253">
            <v>986.99999999999989</v>
          </cell>
          <cell r="Z253" t="str">
            <v>HBRD.AXW</v>
          </cell>
          <cell r="AA253">
            <v>1709</v>
          </cell>
          <cell r="AB253" t="str">
            <v>HBRD.AXW</v>
          </cell>
          <cell r="AC253">
            <v>1921</v>
          </cell>
          <cell r="AD253" t="str">
            <v>HBRD.AXW</v>
          </cell>
          <cell r="AE253">
            <v>1500</v>
          </cell>
          <cell r="AF253" t="str">
            <v>HBRD.AXW</v>
          </cell>
          <cell r="AG253">
            <v>999</v>
          </cell>
        </row>
        <row r="254">
          <cell r="A254" t="str">
            <v>POU</v>
          </cell>
          <cell r="B254" t="str">
            <v>POU.AXW</v>
          </cell>
          <cell r="C254" t="str">
            <v>POU.AXW</v>
          </cell>
          <cell r="D254">
            <v>97</v>
          </cell>
          <cell r="E254">
            <v>2694330.0300000003</v>
          </cell>
          <cell r="F254">
            <v>1754</v>
          </cell>
          <cell r="G254">
            <v>154256</v>
          </cell>
          <cell r="J254" t="str">
            <v>POU.AXW</v>
          </cell>
          <cell r="K254" t="str">
            <v>POU</v>
          </cell>
          <cell r="L254">
            <v>2</v>
          </cell>
          <cell r="M254">
            <v>23225746.68</v>
          </cell>
          <cell r="N254">
            <v>1196146</v>
          </cell>
          <cell r="O254">
            <v>40735</v>
          </cell>
          <cell r="P254" t="str">
            <v>ETF Units</v>
          </cell>
          <cell r="Q254" t="str">
            <v>Exchange Traded Fund Units Fully Paid</v>
          </cell>
          <cell r="R254" t="str">
            <v>Betashares British Pound ETF</v>
          </cell>
          <cell r="S254">
            <v>0</v>
          </cell>
          <cell r="T254">
            <v>6.9123999999999999</v>
          </cell>
          <cell r="U254">
            <v>1820</v>
          </cell>
          <cell r="V254">
            <v>1596</v>
          </cell>
          <cell r="X254" t="str">
            <v>POU.AXW</v>
          </cell>
          <cell r="Y254">
            <v>1743</v>
          </cell>
          <cell r="Z254" t="str">
            <v>POU.AXW</v>
          </cell>
          <cell r="AA254">
            <v>1670</v>
          </cell>
          <cell r="AB254" t="str">
            <v>POU.AXW</v>
          </cell>
          <cell r="AC254">
            <v>2039</v>
          </cell>
          <cell r="AD254" t="str">
            <v>POU.AXW</v>
          </cell>
          <cell r="AE254">
            <v>1645</v>
          </cell>
          <cell r="AF254" t="str">
            <v>POU.AXW</v>
          </cell>
          <cell r="AG254">
            <v>1754</v>
          </cell>
        </row>
        <row r="255">
          <cell r="A255" t="str">
            <v>QAG</v>
          </cell>
          <cell r="B255" t="str">
            <v>QAG.AXW</v>
          </cell>
          <cell r="C255" t="str">
            <v>QAG.AXW</v>
          </cell>
          <cell r="D255">
            <v>38</v>
          </cell>
          <cell r="E255">
            <v>467157.95999999996</v>
          </cell>
          <cell r="F255">
            <v>599</v>
          </cell>
          <cell r="G255">
            <v>74664</v>
          </cell>
          <cell r="J255" t="str">
            <v>QAG.AXW</v>
          </cell>
          <cell r="K255" t="str">
            <v>QAG</v>
          </cell>
          <cell r="L255">
            <v>2</v>
          </cell>
          <cell r="M255">
            <v>2874810.4</v>
          </cell>
          <cell r="N255">
            <v>487256</v>
          </cell>
          <cell r="O255">
            <v>40879</v>
          </cell>
          <cell r="P255" t="str">
            <v>ETF Units</v>
          </cell>
          <cell r="Q255" t="str">
            <v>Exchange Traded Fund Units Fully Paid</v>
          </cell>
          <cell r="R255" t="str">
            <v>Betashares Agriculture ETF-Currency Hedged (Synthetic)</v>
          </cell>
          <cell r="S255">
            <v>0</v>
          </cell>
          <cell r="U255">
            <v>765</v>
          </cell>
          <cell r="V255">
            <v>590</v>
          </cell>
          <cell r="X255" t="str">
            <v>QAG.AXW</v>
          </cell>
          <cell r="Y255">
            <v>673</v>
          </cell>
          <cell r="Z255" t="str">
            <v>QAG.AXW</v>
          </cell>
          <cell r="AA255">
            <v>696</v>
          </cell>
          <cell r="AB255" t="str">
            <v>QAG.AXW</v>
          </cell>
          <cell r="AC255">
            <v>859</v>
          </cell>
          <cell r="AD255" t="str">
            <v>QAG.AXW</v>
          </cell>
          <cell r="AE255">
            <v>1197</v>
          </cell>
          <cell r="AF255" t="str">
            <v>QAG.AXW</v>
          </cell>
          <cell r="AG255">
            <v>599</v>
          </cell>
        </row>
        <row r="256">
          <cell r="A256" t="str">
            <v>QAU</v>
          </cell>
          <cell r="B256" t="str">
            <v>QAU.AXW</v>
          </cell>
          <cell r="C256" t="str">
            <v>QAU.AXW</v>
          </cell>
          <cell r="D256">
            <v>181</v>
          </cell>
          <cell r="E256">
            <v>2964853.7</v>
          </cell>
          <cell r="F256">
            <v>1289</v>
          </cell>
          <cell r="G256">
            <v>225538</v>
          </cell>
          <cell r="J256" t="str">
            <v>QAU.AXW</v>
          </cell>
          <cell r="K256" t="str">
            <v>QAU</v>
          </cell>
          <cell r="L256">
            <v>2</v>
          </cell>
          <cell r="M256">
            <v>55305094.969999999</v>
          </cell>
          <cell r="N256">
            <v>4438192</v>
          </cell>
          <cell r="O256">
            <v>40667</v>
          </cell>
          <cell r="P256" t="str">
            <v>ETF Units</v>
          </cell>
          <cell r="Q256" t="str">
            <v>Exchange Traded Fund Units Fully Paid</v>
          </cell>
          <cell r="R256" t="str">
            <v>Betashares Gold Bullion ETF - Currency Hedged</v>
          </cell>
          <cell r="S256">
            <v>0</v>
          </cell>
          <cell r="U256">
            <v>1449</v>
          </cell>
          <cell r="V256">
            <v>1222</v>
          </cell>
          <cell r="X256" t="str">
            <v>QAU.AXW</v>
          </cell>
          <cell r="Y256">
            <v>1340</v>
          </cell>
          <cell r="Z256" t="str">
            <v>QAU.AXW</v>
          </cell>
          <cell r="AA256">
            <v>1304</v>
          </cell>
          <cell r="AB256" t="str">
            <v>QAU.AXW</v>
          </cell>
          <cell r="AC256">
            <v>1237</v>
          </cell>
          <cell r="AD256" t="str">
            <v>QAU.AXW</v>
          </cell>
          <cell r="AE256">
            <v>1248</v>
          </cell>
          <cell r="AF256" t="str">
            <v>QAU.AXW</v>
          </cell>
          <cell r="AG256">
            <v>1289</v>
          </cell>
        </row>
        <row r="257">
          <cell r="A257" t="str">
            <v>QCB</v>
          </cell>
          <cell r="B257" t="str">
            <v>QCB.AXW</v>
          </cell>
          <cell r="C257" t="str">
            <v>QCB.AXW</v>
          </cell>
          <cell r="D257">
            <v>77</v>
          </cell>
          <cell r="E257">
            <v>766147.94</v>
          </cell>
          <cell r="F257">
            <v>985</v>
          </cell>
          <cell r="G257">
            <v>76638</v>
          </cell>
          <cell r="J257" t="str">
            <v>QCB.AXW</v>
          </cell>
          <cell r="K257" t="str">
            <v>QCB</v>
          </cell>
          <cell r="L257">
            <v>2</v>
          </cell>
          <cell r="M257">
            <v>10213524</v>
          </cell>
          <cell r="N257">
            <v>1123600</v>
          </cell>
          <cell r="O257">
            <v>40892</v>
          </cell>
          <cell r="P257" t="str">
            <v>ETF Units</v>
          </cell>
          <cell r="Q257" t="str">
            <v>Exchange Traded Fund Units Fully Paid</v>
          </cell>
          <cell r="R257" t="str">
            <v>Betashares Commodities Basket ETF-Currency Hedged(Synthetic)</v>
          </cell>
          <cell r="S257">
            <v>0</v>
          </cell>
          <cell r="T257">
            <v>78.409800000000004</v>
          </cell>
          <cell r="U257">
            <v>1100</v>
          </cell>
          <cell r="V257">
            <v>895</v>
          </cell>
          <cell r="X257" t="str">
            <v>QCB.AXW</v>
          </cell>
          <cell r="Y257">
            <v>1025</v>
          </cell>
          <cell r="Z257" t="str">
            <v>QCB.AXW</v>
          </cell>
          <cell r="AA257">
            <v>894.99999999999989</v>
          </cell>
          <cell r="AB257" t="str">
            <v>QCB.AXW</v>
          </cell>
          <cell r="AC257">
            <v>1167</v>
          </cell>
          <cell r="AD257" t="str">
            <v>QCB.AXW</v>
          </cell>
          <cell r="AE257">
            <v>1552</v>
          </cell>
          <cell r="AF257" t="str">
            <v>QCB.AXW</v>
          </cell>
          <cell r="AG257">
            <v>985</v>
          </cell>
        </row>
        <row r="258">
          <cell r="A258" t="str">
            <v>QFN</v>
          </cell>
          <cell r="B258" t="str">
            <v>QFN.AXW</v>
          </cell>
          <cell r="C258" t="str">
            <v>QFN.AXW</v>
          </cell>
          <cell r="D258">
            <v>65</v>
          </cell>
          <cell r="E258">
            <v>1346341.8</v>
          </cell>
          <cell r="F258">
            <v>1130</v>
          </cell>
          <cell r="G258">
            <v>123629</v>
          </cell>
          <cell r="J258" t="str">
            <v>QFN.AXW</v>
          </cell>
          <cell r="K258" t="str">
            <v>QFN</v>
          </cell>
          <cell r="L258">
            <v>2</v>
          </cell>
          <cell r="M258">
            <v>21847690.02</v>
          </cell>
          <cell r="N258">
            <v>1961193</v>
          </cell>
          <cell r="O258">
            <v>40527</v>
          </cell>
          <cell r="P258" t="str">
            <v>ETF Units</v>
          </cell>
          <cell r="Q258" t="str">
            <v>Exchange Traded Fund Units Fully Paid</v>
          </cell>
          <cell r="R258" t="str">
            <v>Betashares S&amp;P/ASX 200 Financials Sector ETF</v>
          </cell>
          <cell r="S258">
            <v>0</v>
          </cell>
          <cell r="T258">
            <v>47.708799999999997</v>
          </cell>
          <cell r="U258">
            <v>1210</v>
          </cell>
          <cell r="V258">
            <v>1063</v>
          </cell>
          <cell r="X258" t="str">
            <v>QFN.AXW</v>
          </cell>
          <cell r="Y258">
            <v>1089</v>
          </cell>
          <cell r="Z258" t="str">
            <v>QFN.AXW</v>
          </cell>
          <cell r="AA258">
            <v>1165</v>
          </cell>
          <cell r="AB258" t="str">
            <v>QFN.AXW</v>
          </cell>
          <cell r="AC258">
            <v>1180</v>
          </cell>
          <cell r="AD258" t="str">
            <v>QFN.AXW</v>
          </cell>
          <cell r="AE258">
            <v>989</v>
          </cell>
          <cell r="AF258" t="str">
            <v>QFN.AXW</v>
          </cell>
          <cell r="AG258">
            <v>1130</v>
          </cell>
        </row>
        <row r="259">
          <cell r="A259" t="str">
            <v>QMIX</v>
          </cell>
          <cell r="B259" t="str">
            <v>QMIX.AXW</v>
          </cell>
          <cell r="C259" t="str">
            <v>QMIX.AXW</v>
          </cell>
          <cell r="D259">
            <v>11</v>
          </cell>
          <cell r="E259">
            <v>332633.01</v>
          </cell>
          <cell r="F259">
            <v>1852</v>
          </cell>
          <cell r="G259">
            <v>17836</v>
          </cell>
          <cell r="J259" t="str">
            <v>QMIX.AXW</v>
          </cell>
          <cell r="K259" t="str">
            <v>QMIX</v>
          </cell>
          <cell r="L259">
            <v>2</v>
          </cell>
          <cell r="M259">
            <v>8407654.8200000003</v>
          </cell>
          <cell r="N259">
            <v>455206</v>
          </cell>
          <cell r="O259">
            <v>42261</v>
          </cell>
          <cell r="P259" t="str">
            <v>ETF Units</v>
          </cell>
          <cell r="Q259" t="str">
            <v>Exchange Traded Fund Units Fully Paid</v>
          </cell>
          <cell r="R259" t="str">
            <v>SPDR MSCI WORLD QUALITY MIX FUND</v>
          </cell>
          <cell r="S259">
            <v>0</v>
          </cell>
          <cell r="T259">
            <v>46.6434</v>
          </cell>
          <cell r="U259">
            <v>1911</v>
          </cell>
          <cell r="V259">
            <v>1608</v>
          </cell>
          <cell r="X259" t="str">
            <v>QMIX.AXW</v>
          </cell>
          <cell r="Y259">
            <v>1845</v>
          </cell>
          <cell r="Z259" t="str">
            <v>QMIX.AXW</v>
          </cell>
          <cell r="AA259">
            <v>1643</v>
          </cell>
          <cell r="AB259" t="str">
            <v>QMIX.AXW</v>
          </cell>
          <cell r="AC259">
            <v>1340</v>
          </cell>
          <cell r="AD259" t="str">
            <v>QMIX.AXW</v>
          </cell>
          <cell r="AE259">
            <v>848</v>
          </cell>
          <cell r="AF259" t="str">
            <v>QMIX.AXW</v>
          </cell>
          <cell r="AG259">
            <v>1852</v>
          </cell>
        </row>
        <row r="260">
          <cell r="A260" t="str">
            <v>QOZ</v>
          </cell>
          <cell r="B260" t="str">
            <v>QOZ.AXW</v>
          </cell>
          <cell r="C260" t="str">
            <v>QOZ.AXW</v>
          </cell>
          <cell r="D260">
            <v>515</v>
          </cell>
          <cell r="E260">
            <v>35577407.009999998</v>
          </cell>
          <cell r="F260">
            <v>1403</v>
          </cell>
          <cell r="G260">
            <v>2583978</v>
          </cell>
          <cell r="J260" t="str">
            <v>QOZ.AXW</v>
          </cell>
          <cell r="K260" t="str">
            <v>QOZ</v>
          </cell>
          <cell r="L260">
            <v>2</v>
          </cell>
          <cell r="M260">
            <v>264913004.16</v>
          </cell>
          <cell r="N260">
            <v>20610789</v>
          </cell>
          <cell r="O260">
            <v>41466</v>
          </cell>
          <cell r="P260" t="str">
            <v>ETF Units</v>
          </cell>
          <cell r="Q260" t="str">
            <v>Exchange Traded Fund Units Fully Paid</v>
          </cell>
          <cell r="R260" t="str">
            <v>Betashares Ftse Rafi Australia 200 ETF</v>
          </cell>
          <cell r="S260">
            <v>0</v>
          </cell>
          <cell r="T260">
            <v>82.828599999999994</v>
          </cell>
          <cell r="U260">
            <v>1436</v>
          </cell>
          <cell r="V260">
            <v>1265</v>
          </cell>
          <cell r="X260" t="str">
            <v>QOZ.AXW</v>
          </cell>
          <cell r="Y260">
            <v>1340</v>
          </cell>
          <cell r="Z260" t="str">
            <v>QOZ.AXW</v>
          </cell>
          <cell r="AA260">
            <v>1298</v>
          </cell>
          <cell r="AB260" t="str">
            <v>QOZ.AXW</v>
          </cell>
          <cell r="AC260">
            <v>1275</v>
          </cell>
          <cell r="AD260" t="str">
            <v>QOZ.AXW</v>
          </cell>
          <cell r="AF260" t="str">
            <v>QOZ.AXW</v>
          </cell>
          <cell r="AG260">
            <v>1403</v>
          </cell>
        </row>
        <row r="261">
          <cell r="A261" t="str">
            <v>QPON</v>
          </cell>
          <cell r="B261" t="str">
            <v>QPON.AXW</v>
          </cell>
          <cell r="C261" t="str">
            <v>QPON.AXW</v>
          </cell>
          <cell r="D261">
            <v>1058</v>
          </cell>
          <cell r="E261">
            <v>19732433.695000004</v>
          </cell>
          <cell r="F261">
            <v>2550</v>
          </cell>
          <cell r="G261">
            <v>774254</v>
          </cell>
          <cell r="J261" t="str">
            <v>QPON.AXW</v>
          </cell>
          <cell r="K261" t="str">
            <v>QPON</v>
          </cell>
          <cell r="L261">
            <v>2</v>
          </cell>
          <cell r="M261">
            <v>252516528.80000001</v>
          </cell>
          <cell r="N261">
            <v>9282460</v>
          </cell>
          <cell r="O261">
            <v>42892</v>
          </cell>
          <cell r="P261" t="str">
            <v>ETF Units</v>
          </cell>
          <cell r="Q261" t="str">
            <v>Exchange Traded Fund Units Fully Paid</v>
          </cell>
          <cell r="R261" t="str">
            <v>Betashares Australian Bank Senior Floating Rate Bond ETF</v>
          </cell>
          <cell r="S261">
            <v>0</v>
          </cell>
          <cell r="T261">
            <v>63.067200000000007</v>
          </cell>
          <cell r="U261">
            <v>2570</v>
          </cell>
          <cell r="V261">
            <v>2544</v>
          </cell>
          <cell r="X261" t="str">
            <v>QPON.AXW</v>
          </cell>
          <cell r="Y261">
            <v>2556</v>
          </cell>
          <cell r="Z261" t="str">
            <v>QPON.AXW</v>
          </cell>
          <cell r="AA261">
            <v>2550</v>
          </cell>
          <cell r="AB261" t="str">
            <v>QPON.AXW</v>
          </cell>
          <cell r="AC261">
            <v>490.00000000000006</v>
          </cell>
          <cell r="AD261" t="str">
            <v>QPON.AXW</v>
          </cell>
          <cell r="AE261">
            <v>528</v>
          </cell>
          <cell r="AF261" t="str">
            <v>QPON.AXW</v>
          </cell>
          <cell r="AG261">
            <v>2550</v>
          </cell>
        </row>
        <row r="262">
          <cell r="A262" t="str">
            <v>QRE</v>
          </cell>
          <cell r="B262" t="str">
            <v>QRE.AXW</v>
          </cell>
          <cell r="C262" t="str">
            <v>QRE.AXW</v>
          </cell>
          <cell r="D262">
            <v>359</v>
          </cell>
          <cell r="E262">
            <v>3698626.0250000004</v>
          </cell>
          <cell r="F262">
            <v>625</v>
          </cell>
          <cell r="G262">
            <v>602937</v>
          </cell>
          <cell r="J262" t="str">
            <v>QRE.AXW</v>
          </cell>
          <cell r="K262" t="str">
            <v>QRE</v>
          </cell>
          <cell r="L262">
            <v>2</v>
          </cell>
          <cell r="M262">
            <v>143509501.53999999</v>
          </cell>
          <cell r="N262">
            <v>23642422</v>
          </cell>
          <cell r="O262">
            <v>40527</v>
          </cell>
          <cell r="P262" t="str">
            <v>ETF Units</v>
          </cell>
          <cell r="Q262" t="str">
            <v>Exchange Traded Fund Units Fully Paid</v>
          </cell>
          <cell r="R262" t="str">
            <v>Betashares S&amp;P/ASX 200 Resources Sector ETF</v>
          </cell>
          <cell r="S262">
            <v>0</v>
          </cell>
          <cell r="T262">
            <v>7.2385000000000002</v>
          </cell>
          <cell r="U262">
            <v>634</v>
          </cell>
          <cell r="V262">
            <v>448</v>
          </cell>
          <cell r="X262" t="str">
            <v>QRE.AXW</v>
          </cell>
          <cell r="Y262">
            <v>598</v>
          </cell>
          <cell r="Z262" t="str">
            <v>QRE.AXW</v>
          </cell>
          <cell r="AA262">
            <v>451.99999999999994</v>
          </cell>
          <cell r="AB262" t="str">
            <v>QRE.AXW</v>
          </cell>
          <cell r="AC262">
            <v>446</v>
          </cell>
          <cell r="AD262" t="str">
            <v>QRE.AXW</v>
          </cell>
          <cell r="AE262">
            <v>488</v>
          </cell>
          <cell r="AF262" t="str">
            <v>QRE.AXW</v>
          </cell>
          <cell r="AG262">
            <v>625</v>
          </cell>
        </row>
        <row r="263">
          <cell r="A263" t="str">
            <v>QUAL</v>
          </cell>
          <cell r="B263" t="str">
            <v>QUAL.AXW</v>
          </cell>
          <cell r="C263" t="str">
            <v>QUAL.AXW</v>
          </cell>
          <cell r="D263">
            <v>699</v>
          </cell>
          <cell r="E263">
            <v>20672395.629999999</v>
          </cell>
          <cell r="F263">
            <v>2382</v>
          </cell>
          <cell r="G263">
            <v>867239</v>
          </cell>
          <cell r="J263" t="str">
            <v>QUAL.AXW</v>
          </cell>
          <cell r="K263" t="str">
            <v>QUAL</v>
          </cell>
          <cell r="L263">
            <v>2</v>
          </cell>
          <cell r="M263">
            <v>369864539.22000003</v>
          </cell>
          <cell r="N263">
            <v>16012222</v>
          </cell>
          <cell r="O263">
            <v>41943</v>
          </cell>
          <cell r="P263" t="str">
            <v>ETF Units</v>
          </cell>
          <cell r="Q263" t="str">
            <v>Exchange Traded Fund Units Fully Paid</v>
          </cell>
          <cell r="R263" t="str">
            <v>Vaneck Vectors Msci World Ex Australia Quality ETF</v>
          </cell>
          <cell r="S263">
            <v>0</v>
          </cell>
          <cell r="T263">
            <v>42</v>
          </cell>
          <cell r="U263">
            <v>2450</v>
          </cell>
          <cell r="V263">
            <v>1955</v>
          </cell>
          <cell r="X263" t="str">
            <v>QUAL.AXW</v>
          </cell>
          <cell r="Y263">
            <v>2342</v>
          </cell>
          <cell r="Z263" t="str">
            <v>QUAL.AXW</v>
          </cell>
          <cell r="AA263">
            <v>2086</v>
          </cell>
          <cell r="AB263" t="str">
            <v>QUAL.AXW</v>
          </cell>
          <cell r="AC263">
            <v>1819.0000000000002</v>
          </cell>
          <cell r="AD263" t="str">
            <v>QUAL.AXW</v>
          </cell>
          <cell r="AE263">
            <v>171.06395861452074</v>
          </cell>
          <cell r="AF263" t="str">
            <v>QUAL.AXW</v>
          </cell>
          <cell r="AG263">
            <v>2382</v>
          </cell>
        </row>
        <row r="264">
          <cell r="A264" t="str">
            <v>QUB</v>
          </cell>
          <cell r="B264" t="str">
            <v>QUB.ASX</v>
          </cell>
          <cell r="C264" t="str">
            <v>QUB.ASX</v>
          </cell>
          <cell r="D264">
            <v>64131</v>
          </cell>
          <cell r="E264">
            <v>292752085.79850012</v>
          </cell>
          <cell r="F264">
            <v>241</v>
          </cell>
          <cell r="G264">
            <v>122729362</v>
          </cell>
          <cell r="J264" t="str">
            <v>QUB.ASX</v>
          </cell>
          <cell r="K264" t="str">
            <v>QUB</v>
          </cell>
          <cell r="L264">
            <v>2</v>
          </cell>
          <cell r="M264">
            <v>3312144918</v>
          </cell>
          <cell r="N264">
            <v>1604988151</v>
          </cell>
          <cell r="O264">
            <v>39086</v>
          </cell>
          <cell r="P264" t="str">
            <v>Fpo</v>
          </cell>
          <cell r="Q264" t="str">
            <v>Ordinary Fully Paid</v>
          </cell>
          <cell r="R264" t="str">
            <v>Qube Holdings Limited</v>
          </cell>
          <cell r="S264">
            <v>112</v>
          </cell>
          <cell r="T264">
            <v>5.5</v>
          </cell>
          <cell r="U264">
            <v>283</v>
          </cell>
          <cell r="V264">
            <v>213</v>
          </cell>
          <cell r="X264" t="str">
            <v>QUB.ASX</v>
          </cell>
          <cell r="Y264">
            <v>233</v>
          </cell>
          <cell r="Z264" t="str">
            <v>QUB.ASX</v>
          </cell>
          <cell r="AA264">
            <v>263</v>
          </cell>
          <cell r="AB264" t="str">
            <v>QUB.ASX</v>
          </cell>
          <cell r="AC264">
            <v>229.71445871092786</v>
          </cell>
          <cell r="AD264" t="str">
            <v>QUB.ASX</v>
          </cell>
          <cell r="AE264">
            <v>162.75513776752973</v>
          </cell>
          <cell r="AF264" t="str">
            <v>QUB.ASX</v>
          </cell>
          <cell r="AG264">
            <v>241</v>
          </cell>
        </row>
        <row r="265">
          <cell r="A265" t="str">
            <v>QUS</v>
          </cell>
          <cell r="B265" t="str">
            <v>QUS.AXW</v>
          </cell>
          <cell r="C265" t="str">
            <v>QUS.AXW</v>
          </cell>
          <cell r="D265">
            <v>77</v>
          </cell>
          <cell r="E265">
            <v>2039620.7300000002</v>
          </cell>
          <cell r="F265">
            <v>3444</v>
          </cell>
          <cell r="G265">
            <v>59917</v>
          </cell>
          <cell r="J265" t="str">
            <v>QUS.AXW</v>
          </cell>
          <cell r="K265" t="str">
            <v>QUS</v>
          </cell>
          <cell r="L265">
            <v>2</v>
          </cell>
          <cell r="M265">
            <v>40352913.159999996</v>
          </cell>
          <cell r="N265">
            <v>1202411</v>
          </cell>
          <cell r="O265">
            <v>41992</v>
          </cell>
          <cell r="P265" t="str">
            <v>ETF Units</v>
          </cell>
          <cell r="Q265" t="str">
            <v>Exchange Traded Fund Units Fully Paid</v>
          </cell>
          <cell r="R265" t="str">
            <v>Betashares Ftse Rafi U.S. 1000 ETF</v>
          </cell>
          <cell r="S265">
            <v>0</v>
          </cell>
          <cell r="T265">
            <v>103.8099</v>
          </cell>
          <cell r="U265">
            <v>3499</v>
          </cell>
          <cell r="V265">
            <v>2859</v>
          </cell>
          <cell r="X265" t="str">
            <v>QUS.AXW</v>
          </cell>
          <cell r="Y265">
            <v>3357</v>
          </cell>
          <cell r="Z265" t="str">
            <v>QUS.AXW</v>
          </cell>
          <cell r="AA265">
            <v>3055</v>
          </cell>
          <cell r="AB265" t="str">
            <v>QUS.AXW</v>
          </cell>
          <cell r="AC265">
            <v>2725</v>
          </cell>
          <cell r="AD265" t="str">
            <v>QUS.AXW</v>
          </cell>
          <cell r="AE265">
            <v>163.73264610246986</v>
          </cell>
          <cell r="AF265" t="str">
            <v>QUS.AXW</v>
          </cell>
          <cell r="AG265">
            <v>3444</v>
          </cell>
        </row>
        <row r="266">
          <cell r="A266" t="str">
            <v>QVE</v>
          </cell>
          <cell r="B266" t="str">
            <v>QVE.ASX</v>
          </cell>
          <cell r="C266" t="str">
            <v>QVE.ASX</v>
          </cell>
          <cell r="D266">
            <v>795</v>
          </cell>
          <cell r="E266">
            <v>5123057.7799999993</v>
          </cell>
          <cell r="F266">
            <v>114.99999999999999</v>
          </cell>
          <cell r="G266">
            <v>4465123</v>
          </cell>
          <cell r="J266" t="str">
            <v>QVE.ASX</v>
          </cell>
          <cell r="K266" t="str">
            <v>QVE</v>
          </cell>
          <cell r="L266">
            <v>2</v>
          </cell>
          <cell r="M266">
            <v>318244711.78500003</v>
          </cell>
          <cell r="N266">
            <v>275536547</v>
          </cell>
          <cell r="O266">
            <v>41873</v>
          </cell>
          <cell r="P266" t="str">
            <v>Fpo</v>
          </cell>
          <cell r="Q266" t="str">
            <v>Ordinary Fully Paid</v>
          </cell>
          <cell r="R266" t="str">
            <v>Qv Equities Limited</v>
          </cell>
          <cell r="S266">
            <v>117</v>
          </cell>
          <cell r="T266">
            <v>4.0999999999999996</v>
          </cell>
          <cell r="U266">
            <v>139</v>
          </cell>
          <cell r="V266">
            <v>110.5</v>
          </cell>
          <cell r="X266" t="str">
            <v>QVE.ASX</v>
          </cell>
          <cell r="Y266">
            <v>112.5</v>
          </cell>
          <cell r="Z266" t="str">
            <v>QVE.ASX</v>
          </cell>
          <cell r="AA266">
            <v>134</v>
          </cell>
          <cell r="AB266" t="str">
            <v>QVE.ASX</v>
          </cell>
          <cell r="AC266">
            <v>106</v>
          </cell>
          <cell r="AD266" t="str">
            <v>QVE.ASX</v>
          </cell>
          <cell r="AF266" t="str">
            <v>QVE.ASX</v>
          </cell>
          <cell r="AG266">
            <v>114.99999999999999</v>
          </cell>
        </row>
        <row r="267">
          <cell r="A267" t="str">
            <v>RARI</v>
          </cell>
          <cell r="B267" t="str">
            <v>RARI.AXW</v>
          </cell>
          <cell r="C267" t="str">
            <v>RARI.AXW</v>
          </cell>
          <cell r="D267">
            <v>88</v>
          </cell>
          <cell r="E267">
            <v>2598383.9999999995</v>
          </cell>
          <cell r="F267">
            <v>2487</v>
          </cell>
          <cell r="G267">
            <v>102687</v>
          </cell>
          <cell r="J267" t="str">
            <v>RARI.AXW</v>
          </cell>
          <cell r="K267" t="str">
            <v>RARI</v>
          </cell>
          <cell r="L267">
            <v>2</v>
          </cell>
          <cell r="M267">
            <v>69176464.519999996</v>
          </cell>
          <cell r="N267">
            <v>2844274</v>
          </cell>
          <cell r="O267">
            <v>42102</v>
          </cell>
          <cell r="P267" t="str">
            <v>ETF Units</v>
          </cell>
          <cell r="Q267" t="str">
            <v>Exchange Traded Fund Units Fully Paid</v>
          </cell>
          <cell r="R267" t="str">
            <v>RUSSELL AUSTRALIAN RESPONSIBLE INVESTMENT ETF</v>
          </cell>
          <cell r="S267">
            <v>0</v>
          </cell>
          <cell r="T267">
            <v>147.29809999999998</v>
          </cell>
          <cell r="U267">
            <v>2603</v>
          </cell>
          <cell r="V267">
            <v>2374</v>
          </cell>
          <cell r="X267" t="str">
            <v>RARI.AXW</v>
          </cell>
          <cell r="Y267">
            <v>2483</v>
          </cell>
          <cell r="Z267" t="str">
            <v>RARI.AXW</v>
          </cell>
          <cell r="AA267">
            <v>2416</v>
          </cell>
          <cell r="AB267" t="str">
            <v>RARI.AXW</v>
          </cell>
          <cell r="AC267">
            <v>2456</v>
          </cell>
          <cell r="AD267" t="str">
            <v>RARI.AXW</v>
          </cell>
          <cell r="AE267">
            <v>2063</v>
          </cell>
          <cell r="AF267" t="str">
            <v>RARI.AXW</v>
          </cell>
          <cell r="AG267">
            <v>2487</v>
          </cell>
        </row>
        <row r="268">
          <cell r="A268" t="str">
            <v>RCB</v>
          </cell>
          <cell r="B268" t="str">
            <v>RCB.AXW</v>
          </cell>
          <cell r="C268" t="str">
            <v>RCB.AXW</v>
          </cell>
          <cell r="D268">
            <v>468</v>
          </cell>
          <cell r="E268">
            <v>6822821.8950000014</v>
          </cell>
          <cell r="F268">
            <v>1998.9999999999998</v>
          </cell>
          <cell r="G268">
            <v>339588</v>
          </cell>
          <cell r="J268" t="str">
            <v>RCB.AXW</v>
          </cell>
          <cell r="K268" t="str">
            <v>RCB</v>
          </cell>
          <cell r="L268">
            <v>2</v>
          </cell>
          <cell r="M268">
            <v>165610585.13999999</v>
          </cell>
          <cell r="N268">
            <v>8272257</v>
          </cell>
          <cell r="O268">
            <v>40981</v>
          </cell>
          <cell r="P268" t="str">
            <v>ETF Units</v>
          </cell>
          <cell r="Q268" t="str">
            <v>Exchange Traded Fund Units Fully Paid</v>
          </cell>
          <cell r="R268" t="str">
            <v>Russell Investments Australian Select Corporate Bond ETF</v>
          </cell>
          <cell r="S268">
            <v>0</v>
          </cell>
          <cell r="T268">
            <v>66.588100000000011</v>
          </cell>
          <cell r="U268">
            <v>2039</v>
          </cell>
          <cell r="V268">
            <v>1991</v>
          </cell>
          <cell r="X268" t="str">
            <v>RCB.AXW</v>
          </cell>
          <cell r="Y268">
            <v>2014</v>
          </cell>
          <cell r="Z268" t="str">
            <v>RCB.AXW</v>
          </cell>
          <cell r="AA268">
            <v>2021</v>
          </cell>
          <cell r="AB268" t="str">
            <v>RCB.AXW</v>
          </cell>
          <cell r="AC268">
            <v>2025</v>
          </cell>
          <cell r="AD268" t="str">
            <v>RCB.AXW</v>
          </cell>
          <cell r="AE268">
            <v>2034</v>
          </cell>
          <cell r="AF268" t="str">
            <v>RCB.AXW</v>
          </cell>
          <cell r="AG268">
            <v>1998.9999999999998</v>
          </cell>
        </row>
        <row r="269">
          <cell r="A269" t="str">
            <v>ATT</v>
          </cell>
          <cell r="B269" t="str">
            <v>ATT.ASX</v>
          </cell>
          <cell r="C269" t="str">
            <v>ATT.ASX</v>
          </cell>
          <cell r="D269">
            <v>12</v>
          </cell>
          <cell r="E269">
            <v>2280.145</v>
          </cell>
          <cell r="F269">
            <v>0.2</v>
          </cell>
          <cell r="G269">
            <v>826334</v>
          </cell>
          <cell r="J269" t="str">
            <v>ATT.ASX</v>
          </cell>
          <cell r="K269" t="str">
            <v>ATT</v>
          </cell>
          <cell r="L269">
            <v>2</v>
          </cell>
          <cell r="M269">
            <v>2526889.92</v>
          </cell>
          <cell r="N269">
            <v>210574160</v>
          </cell>
          <cell r="O269">
            <v>38674</v>
          </cell>
          <cell r="P269" t="str">
            <v>Unit</v>
          </cell>
          <cell r="Q269" t="str">
            <v>Units Fully Paid</v>
          </cell>
          <cell r="R269" t="str">
            <v>Ante Real Estate Trust</v>
          </cell>
          <cell r="S269">
            <v>-12</v>
          </cell>
          <cell r="U269">
            <v>1.2</v>
          </cell>
          <cell r="V269">
            <v>0.2</v>
          </cell>
          <cell r="X269" t="str">
            <v>ATT.ASX</v>
          </cell>
          <cell r="Y269">
            <v>0.2</v>
          </cell>
          <cell r="Z269" t="str">
            <v>ATT.ASX</v>
          </cell>
          <cell r="AA269">
            <v>1.2</v>
          </cell>
          <cell r="AB269" t="str">
            <v>ATT.ASX</v>
          </cell>
          <cell r="AC269">
            <v>12.5</v>
          </cell>
          <cell r="AD269" t="str">
            <v>ATT.ASX</v>
          </cell>
          <cell r="AE269">
            <v>36</v>
          </cell>
          <cell r="AF269" t="str">
            <v>ATT.ASX</v>
          </cell>
          <cell r="AG269">
            <v>0.2</v>
          </cell>
        </row>
        <row r="270">
          <cell r="A270" t="str">
            <v>RDV</v>
          </cell>
          <cell r="B270" t="str">
            <v>RDV.AXW</v>
          </cell>
          <cell r="C270" t="str">
            <v>RDV.AXW</v>
          </cell>
          <cell r="D270">
            <v>372</v>
          </cell>
          <cell r="E270">
            <v>13111180.684800005</v>
          </cell>
          <cell r="F270">
            <v>2899</v>
          </cell>
          <cell r="G270">
            <v>452051</v>
          </cell>
          <cell r="J270" t="str">
            <v>RDV.AXW</v>
          </cell>
          <cell r="K270" t="str">
            <v>RDV</v>
          </cell>
          <cell r="L270">
            <v>2</v>
          </cell>
          <cell r="M270">
            <v>287788857.23000002</v>
          </cell>
          <cell r="N270">
            <v>9715919</v>
          </cell>
          <cell r="O270">
            <v>40312</v>
          </cell>
          <cell r="P270" t="str">
            <v>ETF Units</v>
          </cell>
          <cell r="Q270" t="str">
            <v>Exchange Traded Fund Units Fully Paid</v>
          </cell>
          <cell r="R270" t="str">
            <v>Russell Investments High Dividend Australian Shares ETF</v>
          </cell>
          <cell r="S270">
            <v>0</v>
          </cell>
          <cell r="T270">
            <v>191.0693</v>
          </cell>
          <cell r="U270">
            <v>3168</v>
          </cell>
          <cell r="V270">
            <v>2810</v>
          </cell>
          <cell r="X270" t="str">
            <v>RDV.AXW</v>
          </cell>
          <cell r="Y270">
            <v>2879</v>
          </cell>
          <cell r="Z270" t="str">
            <v>RDV.AXW</v>
          </cell>
          <cell r="AA270">
            <v>2964</v>
          </cell>
          <cell r="AB270" t="str">
            <v>RDV.AXW</v>
          </cell>
          <cell r="AC270">
            <v>3005</v>
          </cell>
          <cell r="AD270" t="str">
            <v>RDV.AXW</v>
          </cell>
          <cell r="AE270">
            <v>2674</v>
          </cell>
          <cell r="AF270" t="str">
            <v>RDV.AXW</v>
          </cell>
          <cell r="AG270">
            <v>2899</v>
          </cell>
        </row>
        <row r="271">
          <cell r="A271" t="str">
            <v>RENT</v>
          </cell>
          <cell r="B271" t="str">
            <v>RENT.AXW</v>
          </cell>
          <cell r="C271" t="str">
            <v>RENT.AXW</v>
          </cell>
          <cell r="D271">
            <v>13</v>
          </cell>
          <cell r="E271">
            <v>393258.45999999996</v>
          </cell>
          <cell r="F271">
            <v>252</v>
          </cell>
          <cell r="G271">
            <v>158441</v>
          </cell>
          <cell r="J271" t="str">
            <v>RENT.AXW</v>
          </cell>
          <cell r="K271" t="str">
            <v>RENT</v>
          </cell>
          <cell r="L271">
            <v>2</v>
          </cell>
          <cell r="M271">
            <v>14768467.560000001</v>
          </cell>
          <cell r="N271">
            <v>5924490</v>
          </cell>
          <cell r="O271">
            <v>42527</v>
          </cell>
          <cell r="P271" t="str">
            <v>Tmf Units</v>
          </cell>
          <cell r="Q271" t="str">
            <v>Trading Managed Fund Units Fully Paid</v>
          </cell>
          <cell r="R271" t="str">
            <v>Amp Capital Global Property Sec Fund</v>
          </cell>
          <cell r="S271">
            <v>0</v>
          </cell>
          <cell r="T271">
            <v>3.4679000000000002</v>
          </cell>
          <cell r="U271">
            <v>253</v>
          </cell>
          <cell r="V271">
            <v>219</v>
          </cell>
          <cell r="X271" t="str">
            <v>RENT.AXW</v>
          </cell>
          <cell r="Y271">
            <v>244</v>
          </cell>
          <cell r="Z271" t="str">
            <v>RENT.AXW</v>
          </cell>
          <cell r="AA271">
            <v>233</v>
          </cell>
          <cell r="AB271" t="str">
            <v>RENT.AXW</v>
          </cell>
          <cell r="AC271">
            <v>109.87065274780363</v>
          </cell>
          <cell r="AD271" t="str">
            <v>RENT.AXW</v>
          </cell>
          <cell r="AF271" t="str">
            <v>RENT.AXW</v>
          </cell>
          <cell r="AG271">
            <v>252</v>
          </cell>
        </row>
        <row r="272">
          <cell r="A272" t="str">
            <v>RFF</v>
          </cell>
          <cell r="B272" t="str">
            <v>RFF.ASX</v>
          </cell>
          <cell r="C272" t="str">
            <v>RFF.ASX</v>
          </cell>
          <cell r="D272">
            <v>7150</v>
          </cell>
          <cell r="E272">
            <v>9880297.318500001</v>
          </cell>
          <cell r="F272">
            <v>212</v>
          </cell>
          <cell r="G272">
            <v>4637006</v>
          </cell>
          <cell r="J272" t="str">
            <v>RFF.ASX</v>
          </cell>
          <cell r="K272" t="str">
            <v>RFF</v>
          </cell>
          <cell r="L272">
            <v>2</v>
          </cell>
          <cell r="M272">
            <v>528424180</v>
          </cell>
          <cell r="N272">
            <v>255630515</v>
          </cell>
          <cell r="O272">
            <v>41684</v>
          </cell>
          <cell r="P272" t="str">
            <v>Stapled</v>
          </cell>
          <cell r="Q272" t="str">
            <v>Stapled Securities Fully Paid</v>
          </cell>
          <cell r="R272" t="str">
            <v>Rural Funds Group</v>
          </cell>
          <cell r="S272">
            <v>100</v>
          </cell>
          <cell r="T272">
            <v>10.029999999999999</v>
          </cell>
          <cell r="U272">
            <v>245</v>
          </cell>
          <cell r="V272">
            <v>180.5</v>
          </cell>
          <cell r="X272" t="str">
            <v>RFF.ASX</v>
          </cell>
          <cell r="Y272">
            <v>213</v>
          </cell>
          <cell r="Z272" t="str">
            <v>RFF.ASX</v>
          </cell>
          <cell r="AA272">
            <v>184.5</v>
          </cell>
          <cell r="AB272" t="str">
            <v>RFF.ASX</v>
          </cell>
          <cell r="AC272">
            <v>104.61596935551738</v>
          </cell>
          <cell r="AD272" t="str">
            <v>RFF.ASX</v>
          </cell>
          <cell r="AE272">
            <v>2070</v>
          </cell>
          <cell r="AF272" t="str">
            <v>RFF.ASX</v>
          </cell>
          <cell r="AG272">
            <v>212</v>
          </cell>
        </row>
        <row r="273">
          <cell r="A273" t="str">
            <v>RINC</v>
          </cell>
          <cell r="B273" t="str">
            <v>RINC.AXW</v>
          </cell>
          <cell r="C273" t="str">
            <v>RINC.AXW</v>
          </cell>
          <cell r="D273">
            <v>37</v>
          </cell>
          <cell r="E273">
            <v>1212891.8500000001</v>
          </cell>
          <cell r="F273">
            <v>869</v>
          </cell>
          <cell r="G273">
            <v>140975</v>
          </cell>
          <cell r="J273" t="str">
            <v>RINC.AXW</v>
          </cell>
          <cell r="K273" t="str">
            <v>RINC</v>
          </cell>
          <cell r="L273">
            <v>2</v>
          </cell>
          <cell r="M273">
            <v>9142889.8399999999</v>
          </cell>
          <cell r="N273">
            <v>1205131</v>
          </cell>
          <cell r="O273">
            <v>43150</v>
          </cell>
          <cell r="P273" t="str">
            <v>Tmf Units</v>
          </cell>
          <cell r="Q273" t="str">
            <v>Trading Managed Units Fully Paid</v>
          </cell>
          <cell r="R273" t="str">
            <v>BetaShares Legg Mason Real Income Fund (Managed Fund)</v>
          </cell>
          <cell r="S273">
            <v>0</v>
          </cell>
          <cell r="T273">
            <v>17.969000000000001</v>
          </cell>
          <cell r="U273">
            <v>873</v>
          </cell>
          <cell r="V273">
            <v>802</v>
          </cell>
          <cell r="X273" t="str">
            <v>RINC.AXW</v>
          </cell>
          <cell r="Y273">
            <v>849</v>
          </cell>
          <cell r="Z273" t="str">
            <v>RINC.AXW</v>
          </cell>
          <cell r="AA273">
            <v>2110</v>
          </cell>
          <cell r="AB273" t="str">
            <v>RINC.AXW</v>
          </cell>
          <cell r="AC273">
            <v>2156</v>
          </cell>
          <cell r="AD273" t="str">
            <v>RINC.AXW</v>
          </cell>
          <cell r="AE273">
            <v>2097</v>
          </cell>
          <cell r="AF273" t="str">
            <v>RINC.AXW</v>
          </cell>
          <cell r="AG273">
            <v>869</v>
          </cell>
        </row>
        <row r="274">
          <cell r="A274" t="str">
            <v>RGB</v>
          </cell>
          <cell r="B274" t="str">
            <v>RGB.AXW</v>
          </cell>
          <cell r="C274" t="str">
            <v>RGB.AXW</v>
          </cell>
          <cell r="D274">
            <v>24</v>
          </cell>
          <cell r="E274">
            <v>661928.05000000005</v>
          </cell>
          <cell r="F274">
            <v>2102</v>
          </cell>
          <cell r="G274">
            <v>31712</v>
          </cell>
          <cell r="J274" t="str">
            <v>RGB.AXW</v>
          </cell>
          <cell r="K274" t="str">
            <v>RGB</v>
          </cell>
          <cell r="L274">
            <v>2</v>
          </cell>
          <cell r="M274">
            <v>60587141.68</v>
          </cell>
          <cell r="N274">
            <v>2879617</v>
          </cell>
          <cell r="O274">
            <v>40981</v>
          </cell>
          <cell r="P274" t="str">
            <v>ETF Units</v>
          </cell>
          <cell r="Q274" t="str">
            <v>Exchange Traded Fund Units Fully Paid</v>
          </cell>
          <cell r="R274" t="str">
            <v>Russell Investments Australian Government Bond ETF</v>
          </cell>
          <cell r="S274">
            <v>0</v>
          </cell>
          <cell r="T274">
            <v>42.386800000000001</v>
          </cell>
          <cell r="U274">
            <v>2119</v>
          </cell>
          <cell r="V274">
            <v>2055</v>
          </cell>
          <cell r="X274" t="str">
            <v>RGB.AXW</v>
          </cell>
          <cell r="Y274">
            <v>2101</v>
          </cell>
          <cell r="Z274" t="str">
            <v>RGB.AXW</v>
          </cell>
          <cell r="AA274">
            <v>2097</v>
          </cell>
          <cell r="AB274" t="str">
            <v>RGB.AXW</v>
          </cell>
          <cell r="AC274">
            <v>2100</v>
          </cell>
          <cell r="AD274" t="str">
            <v>RGB.AXW</v>
          </cell>
          <cell r="AE274">
            <v>2005</v>
          </cell>
          <cell r="AF274" t="str">
            <v>RGB.AXW</v>
          </cell>
          <cell r="AG274">
            <v>2102</v>
          </cell>
        </row>
        <row r="275">
          <cell r="A275" t="str">
            <v>RNY</v>
          </cell>
          <cell r="B275" t="str">
            <v>RNY.ASX</v>
          </cell>
          <cell r="C275" t="str">
            <v>RNY.ASX</v>
          </cell>
          <cell r="D275">
            <v>43</v>
          </cell>
          <cell r="E275">
            <v>13702.203</v>
          </cell>
          <cell r="F275">
            <v>0.5</v>
          </cell>
          <cell r="G275">
            <v>2067503</v>
          </cell>
          <cell r="J275" t="str">
            <v>RNY.ASX</v>
          </cell>
          <cell r="K275" t="str">
            <v>RNY</v>
          </cell>
          <cell r="L275">
            <v>2</v>
          </cell>
          <cell r="M275">
            <v>1317069.4450000001</v>
          </cell>
          <cell r="N275">
            <v>263413889</v>
          </cell>
          <cell r="O275">
            <v>38978</v>
          </cell>
          <cell r="P275" t="str">
            <v>Unit</v>
          </cell>
          <cell r="Q275" t="str">
            <v>Units Fully Paid</v>
          </cell>
          <cell r="R275" t="str">
            <v>RNY Property Trust</v>
          </cell>
          <cell r="S275">
            <v>2</v>
          </cell>
          <cell r="T275">
            <v>0</v>
          </cell>
          <cell r="U275">
            <v>3.2</v>
          </cell>
          <cell r="V275">
            <v>0.4</v>
          </cell>
          <cell r="X275" t="str">
            <v>RNY.ASX</v>
          </cell>
          <cell r="Y275">
            <v>0.90000000000000013</v>
          </cell>
          <cell r="Z275" t="str">
            <v>RNY.ASX</v>
          </cell>
          <cell r="AA275">
            <v>3</v>
          </cell>
          <cell r="AB275" t="str">
            <v>RNY.ASX</v>
          </cell>
          <cell r="AC275">
            <v>30</v>
          </cell>
          <cell r="AD275" t="str">
            <v>RNY.ASX</v>
          </cell>
          <cell r="AE275">
            <v>28.499999999999996</v>
          </cell>
          <cell r="AF275" t="str">
            <v>RNY.ASX</v>
          </cell>
          <cell r="AG275">
            <v>0.5</v>
          </cell>
        </row>
        <row r="276">
          <cell r="A276" t="str">
            <v>ROBO</v>
          </cell>
          <cell r="B276" t="str">
            <v>ROBO.AXW</v>
          </cell>
          <cell r="C276" t="str">
            <v>ROBO.AXW</v>
          </cell>
          <cell r="D276">
            <v>2577</v>
          </cell>
          <cell r="E276">
            <v>18845891.300000034</v>
          </cell>
          <cell r="F276">
            <v>5712</v>
          </cell>
          <cell r="G276">
            <v>322686</v>
          </cell>
          <cell r="J276" t="str">
            <v>ROBO.AXW</v>
          </cell>
          <cell r="K276" t="str">
            <v>ROBO</v>
          </cell>
          <cell r="L276">
            <v>2</v>
          </cell>
          <cell r="M276">
            <v>91985100</v>
          </cell>
          <cell r="N276">
            <v>1825000</v>
          </cell>
          <cell r="O276">
            <v>42992</v>
          </cell>
          <cell r="P276" t="str">
            <v>ETF Units</v>
          </cell>
          <cell r="Q276" t="str">
            <v>Exchange Traded Fund Units Fully Paid</v>
          </cell>
          <cell r="R276" t="str">
            <v>ETFS ROBO Global Robotics and Automation ETF</v>
          </cell>
          <cell r="S276">
            <v>0</v>
          </cell>
          <cell r="T276">
            <v>100.50530000000001</v>
          </cell>
          <cell r="U276">
            <v>6400</v>
          </cell>
          <cell r="V276">
            <v>5030</v>
          </cell>
          <cell r="X276" t="str">
            <v>ROBO.AXW</v>
          </cell>
          <cell r="Y276">
            <v>5803</v>
          </cell>
          <cell r="Z276" t="str">
            <v>ROBO.AXW</v>
          </cell>
          <cell r="AA276">
            <v>2057</v>
          </cell>
          <cell r="AB276" t="str">
            <v>ROBO.AXW</v>
          </cell>
          <cell r="AC276">
            <v>2072</v>
          </cell>
          <cell r="AD276" t="str">
            <v>ROBO.AXW</v>
          </cell>
          <cell r="AE276">
            <v>2064</v>
          </cell>
          <cell r="AF276" t="str">
            <v>ROBO.AXW</v>
          </cell>
          <cell r="AG276">
            <v>5712</v>
          </cell>
        </row>
        <row r="277">
          <cell r="A277" t="str">
            <v>RSM</v>
          </cell>
          <cell r="B277" t="str">
            <v>RSM.AXW</v>
          </cell>
          <cell r="C277" t="str">
            <v>RSM.AXW</v>
          </cell>
          <cell r="D277">
            <v>53</v>
          </cell>
          <cell r="E277">
            <v>1102355.1099999999</v>
          </cell>
          <cell r="F277">
            <v>2046</v>
          </cell>
          <cell r="G277">
            <v>53845</v>
          </cell>
          <cell r="J277" t="str">
            <v>RSM.AXW</v>
          </cell>
          <cell r="K277" t="str">
            <v>RSM</v>
          </cell>
          <cell r="L277">
            <v>2</v>
          </cell>
          <cell r="M277">
            <v>61411640.549999997</v>
          </cell>
          <cell r="N277">
            <v>2988401</v>
          </cell>
          <cell r="O277">
            <v>40981</v>
          </cell>
          <cell r="P277" t="str">
            <v>ETF Units</v>
          </cell>
          <cell r="Q277" t="str">
            <v>Exchange Traded Fund Units Fully Paid</v>
          </cell>
          <cell r="R277" t="str">
            <v>Russell Investments Australian Semi-Government Bond ETF</v>
          </cell>
          <cell r="S277">
            <v>0</v>
          </cell>
          <cell r="T277">
            <v>41.056200000000004</v>
          </cell>
          <cell r="U277">
            <v>2062</v>
          </cell>
          <cell r="V277">
            <v>2029</v>
          </cell>
          <cell r="X277" t="str">
            <v>RSM.AXW</v>
          </cell>
          <cell r="Y277">
            <v>2046</v>
          </cell>
          <cell r="Z277" t="str">
            <v>RSM.AXW</v>
          </cell>
          <cell r="AA277">
            <v>2045</v>
          </cell>
          <cell r="AB277" t="str">
            <v>RSM.AXW</v>
          </cell>
          <cell r="AC277">
            <v>2055</v>
          </cell>
          <cell r="AD277" t="str">
            <v>RSM.AXW</v>
          </cell>
          <cell r="AE277">
            <v>2019.0000000000002</v>
          </cell>
          <cell r="AF277" t="str">
            <v>RSM.AXW</v>
          </cell>
          <cell r="AG277">
            <v>2046</v>
          </cell>
        </row>
        <row r="278">
          <cell r="A278" t="str">
            <v>RYD</v>
          </cell>
          <cell r="B278" t="str">
            <v>RYD.ASX</v>
          </cell>
          <cell r="C278" t="str">
            <v>RYD.ASX</v>
          </cell>
          <cell r="D278">
            <v>40</v>
          </cell>
          <cell r="E278">
            <v>430821.76499999996</v>
          </cell>
          <cell r="F278">
            <v>125</v>
          </cell>
          <cell r="G278">
            <v>344123</v>
          </cell>
          <cell r="J278" t="str">
            <v>RYD.ASX</v>
          </cell>
          <cell r="K278" t="str">
            <v>RYD</v>
          </cell>
          <cell r="L278">
            <v>2</v>
          </cell>
          <cell r="M278">
            <v>50246806.25</v>
          </cell>
          <cell r="N278">
            <v>40197445</v>
          </cell>
          <cell r="O278">
            <v>42275</v>
          </cell>
          <cell r="P278" t="str">
            <v>Fpo</v>
          </cell>
          <cell r="Q278" t="str">
            <v>Ordinary Fully Paid</v>
          </cell>
          <cell r="R278" t="str">
            <v>Ryder Capital Limited</v>
          </cell>
          <cell r="S278">
            <v>136</v>
          </cell>
          <cell r="T278">
            <v>1</v>
          </cell>
          <cell r="U278">
            <v>137</v>
          </cell>
          <cell r="V278">
            <v>107</v>
          </cell>
          <cell r="X278" t="str">
            <v>RYD.ASX</v>
          </cell>
          <cell r="Y278">
            <v>126</v>
          </cell>
          <cell r="Z278" t="str">
            <v>RYD.ASX</v>
          </cell>
          <cell r="AA278">
            <v>107</v>
          </cell>
          <cell r="AB278" t="str">
            <v>RYD.ASX</v>
          </cell>
          <cell r="AC278">
            <v>374</v>
          </cell>
          <cell r="AD278" t="str">
            <v>RYD.ASX</v>
          </cell>
          <cell r="AE278">
            <v>165</v>
          </cell>
          <cell r="AF278" t="str">
            <v>RYD.ASX</v>
          </cell>
          <cell r="AG278">
            <v>125</v>
          </cell>
        </row>
        <row r="279">
          <cell r="A279" t="str">
            <v>SCG</v>
          </cell>
          <cell r="B279" t="str">
            <v>SCG.ASX</v>
          </cell>
          <cell r="C279" t="str">
            <v>SCG.ASX</v>
          </cell>
          <cell r="D279">
            <v>126621</v>
          </cell>
          <cell r="E279">
            <v>1234854652.6626563</v>
          </cell>
          <cell r="F279">
            <v>438.99999999999994</v>
          </cell>
          <cell r="G279">
            <v>288983418</v>
          </cell>
          <cell r="J279" t="str">
            <v>SCG.ASX</v>
          </cell>
          <cell r="K279" t="str">
            <v>SCG</v>
          </cell>
          <cell r="L279">
            <v>2</v>
          </cell>
          <cell r="M279">
            <v>23533392740</v>
          </cell>
          <cell r="N279">
            <v>5316997206</v>
          </cell>
          <cell r="O279">
            <v>41815</v>
          </cell>
          <cell r="P279" t="str">
            <v>Stapled</v>
          </cell>
          <cell r="Q279" t="str">
            <v>Stapled Securities</v>
          </cell>
          <cell r="R279" t="str">
            <v>Scentre Group</v>
          </cell>
          <cell r="S279">
            <v>424</v>
          </cell>
          <cell r="T279">
            <v>21.729999999999997</v>
          </cell>
          <cell r="U279">
            <v>447</v>
          </cell>
          <cell r="V279">
            <v>370</v>
          </cell>
          <cell r="X279" t="str">
            <v>SCG.ASX</v>
          </cell>
          <cell r="Y279">
            <v>419.00000000000006</v>
          </cell>
          <cell r="Z279" t="str">
            <v>SCG.ASX</v>
          </cell>
          <cell r="AA279">
            <v>405</v>
          </cell>
          <cell r="AB279" t="str">
            <v>SCG.ASX</v>
          </cell>
          <cell r="AC279">
            <v>375</v>
          </cell>
          <cell r="AD279" t="str">
            <v>SCG.ASX</v>
          </cell>
          <cell r="AE279">
            <v>162</v>
          </cell>
          <cell r="AF279" t="str">
            <v>SCG.ASX</v>
          </cell>
          <cell r="AG279">
            <v>438.99999999999994</v>
          </cell>
        </row>
        <row r="280">
          <cell r="A280" t="str">
            <v>SCP</v>
          </cell>
          <cell r="B280" t="str">
            <v>SCP.ASX</v>
          </cell>
          <cell r="C280" t="str">
            <v>SCP.ASX</v>
          </cell>
          <cell r="D280">
            <v>43833</v>
          </cell>
          <cell r="E280">
            <v>168173529.29119998</v>
          </cell>
          <cell r="F280">
            <v>245.00000000000003</v>
          </cell>
          <cell r="G280">
            <v>67958379</v>
          </cell>
          <cell r="J280" t="str">
            <v>SCP.ASX</v>
          </cell>
          <cell r="K280" t="str">
            <v>SCP</v>
          </cell>
          <cell r="L280">
            <v>2</v>
          </cell>
          <cell r="M280">
            <v>1803722500</v>
          </cell>
          <cell r="N280">
            <v>749154435</v>
          </cell>
          <cell r="O280">
            <v>41239</v>
          </cell>
          <cell r="P280" t="str">
            <v>Stapled</v>
          </cell>
          <cell r="Q280" t="str">
            <v>Units Fully Paid Stapled Securities</v>
          </cell>
          <cell r="R280" t="str">
            <v>Shopping Centres Australasia Property Group</v>
          </cell>
          <cell r="S280">
            <v>223</v>
          </cell>
          <cell r="T280">
            <v>13.899999999999999</v>
          </cell>
          <cell r="U280">
            <v>258</v>
          </cell>
          <cell r="V280">
            <v>210</v>
          </cell>
          <cell r="X280" t="str">
            <v>SCP.ASX</v>
          </cell>
          <cell r="Y280">
            <v>244</v>
          </cell>
          <cell r="Z280" t="str">
            <v>SCP.ASX</v>
          </cell>
          <cell r="AA280">
            <v>219</v>
          </cell>
          <cell r="AB280" t="str">
            <v>SCP.ASX</v>
          </cell>
          <cell r="AC280">
            <v>213</v>
          </cell>
          <cell r="AD280" t="str">
            <v>SCP.ASX</v>
          </cell>
          <cell r="AE280">
            <v>159</v>
          </cell>
          <cell r="AF280" t="str">
            <v>SCP.ASX</v>
          </cell>
          <cell r="AG280">
            <v>245.00000000000003</v>
          </cell>
        </row>
        <row r="281">
          <cell r="A281" t="str">
            <v>SFY</v>
          </cell>
          <cell r="B281" t="str">
            <v>SFY.AXW</v>
          </cell>
          <cell r="C281" t="str">
            <v>SFY.AXW</v>
          </cell>
          <cell r="D281">
            <v>555</v>
          </cell>
          <cell r="E281">
            <v>14409390.189999999</v>
          </cell>
          <cell r="F281">
            <v>5674</v>
          </cell>
          <cell r="G281">
            <v>256717</v>
          </cell>
          <cell r="J281" t="str">
            <v>SFY.AXW</v>
          </cell>
          <cell r="K281" t="str">
            <v>SFY</v>
          </cell>
          <cell r="L281">
            <v>2</v>
          </cell>
          <cell r="M281">
            <v>516527331.05000001</v>
          </cell>
          <cell r="N281">
            <v>9069839</v>
          </cell>
          <cell r="O281">
            <v>37130</v>
          </cell>
          <cell r="P281" t="str">
            <v>ETF Units</v>
          </cell>
          <cell r="Q281" t="str">
            <v>Exchange Traded Fund Units Fully Paid</v>
          </cell>
          <cell r="R281" t="str">
            <v>SPDR S&amp;P/ASX 50 Fund</v>
          </cell>
          <cell r="S281">
            <v>5547</v>
          </cell>
          <cell r="T281">
            <v>252.52539999999999</v>
          </cell>
          <cell r="U281">
            <v>5759</v>
          </cell>
          <cell r="V281">
            <v>5219</v>
          </cell>
          <cell r="X281" t="str">
            <v>SFY.AXW</v>
          </cell>
          <cell r="Y281">
            <v>5502</v>
          </cell>
          <cell r="Z281" t="str">
            <v>SFY.AXW</v>
          </cell>
          <cell r="AA281">
            <v>5346</v>
          </cell>
          <cell r="AB281" t="str">
            <v>SFY.AXW</v>
          </cell>
          <cell r="AC281">
            <v>5340</v>
          </cell>
          <cell r="AD281" t="str">
            <v>SFY.AXW</v>
          </cell>
          <cell r="AE281">
            <v>4811</v>
          </cell>
          <cell r="AF281" t="str">
            <v>SFY.AXW</v>
          </cell>
          <cell r="AG281">
            <v>5674</v>
          </cell>
        </row>
        <row r="282">
          <cell r="A282" t="str">
            <v>SGP</v>
          </cell>
          <cell r="B282" t="str">
            <v>SGP.ASX</v>
          </cell>
          <cell r="C282" t="str">
            <v>SGP.ASX</v>
          </cell>
          <cell r="D282">
            <v>91394</v>
          </cell>
          <cell r="E282">
            <v>704499515.94970036</v>
          </cell>
          <cell r="F282">
            <v>397</v>
          </cell>
          <cell r="G282">
            <v>170393566</v>
          </cell>
          <cell r="J282" t="str">
            <v>SGP.ASX</v>
          </cell>
          <cell r="K282" t="str">
            <v>SGP</v>
          </cell>
          <cell r="L282">
            <v>2</v>
          </cell>
          <cell r="M282">
            <v>9737876000</v>
          </cell>
          <cell r="N282">
            <v>2434469276</v>
          </cell>
          <cell r="O282">
            <v>32245</v>
          </cell>
          <cell r="P282" t="str">
            <v>Stapled</v>
          </cell>
          <cell r="Q282" t="str">
            <v>Units/Ordinary Fully Paid Stapled Securities</v>
          </cell>
          <cell r="R282" t="str">
            <v>Stockland</v>
          </cell>
          <cell r="S282">
            <v>418</v>
          </cell>
          <cell r="T282">
            <v>26.5</v>
          </cell>
          <cell r="U282">
            <v>479</v>
          </cell>
          <cell r="V282">
            <v>390</v>
          </cell>
          <cell r="X282" t="str">
            <v>SGP.ASX</v>
          </cell>
          <cell r="Y282">
            <v>418</v>
          </cell>
          <cell r="Z282" t="str">
            <v>SGP.ASX</v>
          </cell>
          <cell r="AA282">
            <v>438</v>
          </cell>
          <cell r="AB282" t="str">
            <v>SGP.ASX</v>
          </cell>
          <cell r="AC282">
            <v>409.99999999999994</v>
          </cell>
          <cell r="AD282" t="str">
            <v>SGP.ASX</v>
          </cell>
          <cell r="AE282">
            <v>348</v>
          </cell>
          <cell r="AF282" t="str">
            <v>SGP.ASX</v>
          </cell>
          <cell r="AG282">
            <v>397</v>
          </cell>
        </row>
        <row r="283">
          <cell r="A283" t="str">
            <v>SKI</v>
          </cell>
          <cell r="B283" t="str">
            <v>SKI.ASX</v>
          </cell>
          <cell r="C283" t="str">
            <v>SKI.ASX</v>
          </cell>
          <cell r="D283">
            <v>50590</v>
          </cell>
          <cell r="E283">
            <v>274002564.5650388</v>
          </cell>
          <cell r="F283">
            <v>227.99999999999997</v>
          </cell>
          <cell r="G283">
            <v>121518903</v>
          </cell>
          <cell r="J283" t="str">
            <v>SKI.ASX</v>
          </cell>
          <cell r="K283" t="str">
            <v>SKI</v>
          </cell>
          <cell r="L283">
            <v>2</v>
          </cell>
          <cell r="M283">
            <v>3935882340</v>
          </cell>
          <cell r="N283">
            <v>1682010978</v>
          </cell>
          <cell r="O283">
            <v>39142</v>
          </cell>
          <cell r="P283" t="str">
            <v>Forus</v>
          </cell>
          <cell r="Q283" t="str">
            <v>Stapled $0.65 Loan Note and Unit Us Prohibited</v>
          </cell>
          <cell r="R283" t="str">
            <v>Spark Infrastructure Group</v>
          </cell>
          <cell r="S283">
            <v>187</v>
          </cell>
          <cell r="T283">
            <v>15.25</v>
          </cell>
          <cell r="U283">
            <v>275</v>
          </cell>
          <cell r="V283">
            <v>212.5</v>
          </cell>
          <cell r="X283" t="str">
            <v>SKI.ASX</v>
          </cell>
          <cell r="Y283">
            <v>224.00000000000003</v>
          </cell>
          <cell r="Z283" t="str">
            <v>SKI.ASX</v>
          </cell>
          <cell r="AA283">
            <v>262</v>
          </cell>
          <cell r="AB283" t="str">
            <v>SKI.ASX</v>
          </cell>
          <cell r="AC283">
            <v>193.31039789319038</v>
          </cell>
          <cell r="AD283" t="str">
            <v>SKI.ASX</v>
          </cell>
          <cell r="AE283">
            <v>171.55679813027382</v>
          </cell>
          <cell r="AF283" t="str">
            <v>SKI.ASX</v>
          </cell>
          <cell r="AG283">
            <v>227.99999999999997</v>
          </cell>
        </row>
        <row r="284">
          <cell r="A284" t="str">
            <v>SLF</v>
          </cell>
          <cell r="B284" t="str">
            <v>SLF.AXW</v>
          </cell>
          <cell r="C284" t="str">
            <v>SLF.AXW</v>
          </cell>
          <cell r="D284">
            <v>1236</v>
          </cell>
          <cell r="E284">
            <v>20927913.695000004</v>
          </cell>
          <cell r="F284">
            <v>1262</v>
          </cell>
          <cell r="G284">
            <v>1600525</v>
          </cell>
          <cell r="J284" t="str">
            <v>SLF.AXW</v>
          </cell>
          <cell r="K284" t="str">
            <v>SLF</v>
          </cell>
          <cell r="L284">
            <v>2</v>
          </cell>
          <cell r="M284">
            <v>557969012.71000004</v>
          </cell>
          <cell r="N284">
            <v>43900001</v>
          </cell>
          <cell r="O284">
            <v>37305</v>
          </cell>
          <cell r="P284" t="str">
            <v>ETF Units</v>
          </cell>
          <cell r="Q284" t="str">
            <v>Exchange Traded Fund Units Fully Paid</v>
          </cell>
          <cell r="R284" t="str">
            <v>SPDR S&amp;P/ASX 200 Listed Property Fund</v>
          </cell>
          <cell r="S284">
            <v>1312</v>
          </cell>
          <cell r="T284">
            <v>108.9867</v>
          </cell>
          <cell r="U284">
            <v>1380</v>
          </cell>
          <cell r="V284">
            <v>1174</v>
          </cell>
          <cell r="X284" t="str">
            <v>SLF.AXW</v>
          </cell>
          <cell r="Y284">
            <v>1304</v>
          </cell>
          <cell r="Z284" t="str">
            <v>SLF.AXW</v>
          </cell>
          <cell r="AA284">
            <v>1219</v>
          </cell>
          <cell r="AB284" t="str">
            <v>SLF.AXW</v>
          </cell>
          <cell r="AC284">
            <v>1133</v>
          </cell>
          <cell r="AD284" t="str">
            <v>SLF.AXW</v>
          </cell>
          <cell r="AE284">
            <v>947.00000000000011</v>
          </cell>
          <cell r="AF284" t="str">
            <v>SLF.AXW</v>
          </cell>
          <cell r="AG284">
            <v>1262</v>
          </cell>
        </row>
        <row r="285">
          <cell r="A285" t="str">
            <v>SMLL</v>
          </cell>
          <cell r="B285" t="str">
            <v>SMLL.AXW</v>
          </cell>
          <cell r="C285" t="str">
            <v>SMLL.AXW</v>
          </cell>
          <cell r="D285">
            <v>446</v>
          </cell>
          <cell r="E285">
            <v>1021604.5849999998</v>
          </cell>
          <cell r="F285">
            <v>350</v>
          </cell>
          <cell r="G285">
            <v>291951</v>
          </cell>
          <cell r="J285" t="str">
            <v>SMLL.AXW</v>
          </cell>
          <cell r="K285" t="str">
            <v>SMLL</v>
          </cell>
          <cell r="L285">
            <v>2</v>
          </cell>
          <cell r="M285">
            <v>20663667.239999998</v>
          </cell>
          <cell r="N285">
            <v>6400450</v>
          </cell>
          <cell r="O285">
            <v>42836</v>
          </cell>
          <cell r="P285" t="str">
            <v>Tmf Units</v>
          </cell>
          <cell r="Q285" t="str">
            <v>Trading Managed Units Fully Paid</v>
          </cell>
          <cell r="R285" t="str">
            <v>BetaShares Aust Small Companies Select Fund (Managed Fund)</v>
          </cell>
          <cell r="S285">
            <v>0</v>
          </cell>
          <cell r="T285">
            <v>16.457899999999999</v>
          </cell>
          <cell r="U285">
            <v>356</v>
          </cell>
          <cell r="V285">
            <v>297</v>
          </cell>
          <cell r="X285" t="str">
            <v>SMLL.AXW</v>
          </cell>
          <cell r="Y285">
            <v>344</v>
          </cell>
          <cell r="Z285" t="str">
            <v>SMLL.AXW</v>
          </cell>
          <cell r="AA285">
            <v>304</v>
          </cell>
          <cell r="AB285" t="str">
            <v>SMLL.AXW</v>
          </cell>
          <cell r="AC285">
            <v>94.172551721334457</v>
          </cell>
          <cell r="AD285" t="str">
            <v>SMLL.AXW</v>
          </cell>
          <cell r="AE285">
            <v>902</v>
          </cell>
          <cell r="AF285" t="str">
            <v>SMLL.AXW</v>
          </cell>
          <cell r="AG285">
            <v>350</v>
          </cell>
        </row>
        <row r="286">
          <cell r="A286" t="str">
            <v>SNC</v>
          </cell>
          <cell r="B286" t="str">
            <v>SNC.ASX</v>
          </cell>
          <cell r="C286" t="str">
            <v>SNC.ASX</v>
          </cell>
          <cell r="D286">
            <v>93</v>
          </cell>
          <cell r="E286">
            <v>518998.82500000001</v>
          </cell>
          <cell r="F286">
            <v>92.5</v>
          </cell>
          <cell r="G286">
            <v>549512</v>
          </cell>
          <cell r="J286" t="str">
            <v>SNC.ASX</v>
          </cell>
          <cell r="K286" t="str">
            <v>SNC</v>
          </cell>
          <cell r="L286">
            <v>2</v>
          </cell>
          <cell r="M286">
            <v>44802769.975000001</v>
          </cell>
          <cell r="N286">
            <v>48435427</v>
          </cell>
          <cell r="O286">
            <v>41631</v>
          </cell>
          <cell r="P286" t="str">
            <v>Fpo</v>
          </cell>
          <cell r="Q286" t="str">
            <v>Ordinary Fully Paid</v>
          </cell>
          <cell r="R286" t="str">
            <v>Sandon Capital Investments Limited</v>
          </cell>
          <cell r="S286">
            <v>94</v>
          </cell>
          <cell r="T286">
            <v>7</v>
          </cell>
          <cell r="U286">
            <v>106</v>
          </cell>
          <cell r="V286">
            <v>91</v>
          </cell>
          <cell r="X286" t="str">
            <v>SNC.ASX</v>
          </cell>
          <cell r="Y286">
            <v>96.5</v>
          </cell>
          <cell r="Z286" t="str">
            <v>SNC.ASX</v>
          </cell>
          <cell r="AA286">
            <v>94</v>
          </cell>
          <cell r="AB286" t="str">
            <v>SNC.ASX</v>
          </cell>
          <cell r="AC286">
            <v>85.297651559114456</v>
          </cell>
          <cell r="AD286" t="str">
            <v>SNC.ASX</v>
          </cell>
          <cell r="AE286">
            <v>1268</v>
          </cell>
          <cell r="AF286" t="str">
            <v>SNC.ASX</v>
          </cell>
          <cell r="AG286">
            <v>92.5</v>
          </cell>
        </row>
        <row r="287">
          <cell r="A287" t="str">
            <v>SPY</v>
          </cell>
          <cell r="B287" t="str">
            <v>SPY.AXW</v>
          </cell>
          <cell r="C287" t="str">
            <v>SPY.AXW</v>
          </cell>
          <cell r="D287">
            <v>60</v>
          </cell>
          <cell r="E287">
            <v>1479865.3299999998</v>
          </cell>
          <cell r="F287">
            <v>36880</v>
          </cell>
          <cell r="G287">
            <v>4052</v>
          </cell>
          <cell r="J287" t="str">
            <v>SPY.AXW</v>
          </cell>
          <cell r="K287" t="str">
            <v>SPY</v>
          </cell>
          <cell r="L287">
            <v>2</v>
          </cell>
          <cell r="M287">
            <v>20898793.5</v>
          </cell>
          <cell r="N287">
            <v>59407</v>
          </cell>
          <cell r="O287">
            <v>41925</v>
          </cell>
          <cell r="P287" t="str">
            <v>Cdi 1:1</v>
          </cell>
          <cell r="Q287" t="str">
            <v>Chess Depositary Interests 1:1 Spdrs&amp;P500</v>
          </cell>
          <cell r="R287" t="str">
            <v>SPDR S&amp;P 500 ETF Trust</v>
          </cell>
          <cell r="S287">
            <v>28362</v>
          </cell>
          <cell r="T287">
            <v>547.04549999999995</v>
          </cell>
          <cell r="U287">
            <v>37545</v>
          </cell>
          <cell r="V287">
            <v>30500</v>
          </cell>
          <cell r="X287" t="str">
            <v>SPY.AXW</v>
          </cell>
          <cell r="Y287">
            <v>35973</v>
          </cell>
          <cell r="Z287" t="str">
            <v>SPY.AXW</v>
          </cell>
          <cell r="AA287">
            <v>31435.000000000004</v>
          </cell>
          <cell r="AB287" t="str">
            <v>SPY.AXW</v>
          </cell>
          <cell r="AC287">
            <v>26869</v>
          </cell>
          <cell r="AD287" t="str">
            <v>SPY.AXW</v>
          </cell>
          <cell r="AE287">
            <v>1176</v>
          </cell>
          <cell r="AF287" t="str">
            <v>SPY.AXW</v>
          </cell>
          <cell r="AG287">
            <v>36880</v>
          </cell>
        </row>
        <row r="288">
          <cell r="A288" t="str">
            <v>SSO</v>
          </cell>
          <cell r="B288" t="str">
            <v>SSO.AXW</v>
          </cell>
          <cell r="C288" t="str">
            <v>SSO.AXW</v>
          </cell>
          <cell r="D288">
            <v>49</v>
          </cell>
          <cell r="E288">
            <v>926042.97</v>
          </cell>
          <cell r="F288">
            <v>1532</v>
          </cell>
          <cell r="G288">
            <v>59908</v>
          </cell>
          <cell r="J288" t="str">
            <v>SSO.AXW</v>
          </cell>
          <cell r="K288" t="str">
            <v>SSO</v>
          </cell>
          <cell r="L288">
            <v>2</v>
          </cell>
          <cell r="M288">
            <v>19993207.5</v>
          </cell>
          <cell r="N288">
            <v>1411030</v>
          </cell>
          <cell r="O288">
            <v>40646</v>
          </cell>
          <cell r="P288" t="str">
            <v>ETF Units</v>
          </cell>
          <cell r="Q288" t="str">
            <v>Exchange Traded Fund Units Fully Paid</v>
          </cell>
          <cell r="R288" t="str">
            <v>SPDR S&amp;P/ASX Small Ordinaries Fund</v>
          </cell>
          <cell r="S288">
            <v>0</v>
          </cell>
          <cell r="T288">
            <v>33.226500000000001</v>
          </cell>
          <cell r="U288">
            <v>1575</v>
          </cell>
          <cell r="V288">
            <v>1253</v>
          </cell>
          <cell r="X288" t="str">
            <v>SSO.AXW</v>
          </cell>
          <cell r="Y288">
            <v>1512</v>
          </cell>
          <cell r="Z288" t="str">
            <v>SSO.AXW</v>
          </cell>
          <cell r="AA288">
            <v>1271</v>
          </cell>
          <cell r="AB288" t="str">
            <v>SSO.AXW</v>
          </cell>
          <cell r="AC288">
            <v>1096</v>
          </cell>
          <cell r="AD288" t="str">
            <v>SSO.AXW</v>
          </cell>
          <cell r="AE288">
            <v>1026</v>
          </cell>
          <cell r="AF288" t="str">
            <v>SSO.AXW</v>
          </cell>
          <cell r="AG288">
            <v>1532</v>
          </cell>
        </row>
        <row r="289">
          <cell r="A289" t="str">
            <v>STW</v>
          </cell>
          <cell r="B289" t="str">
            <v>STW.AXW</v>
          </cell>
          <cell r="C289" t="str">
            <v>STW.AXW</v>
          </cell>
          <cell r="D289">
            <v>5074</v>
          </cell>
          <cell r="E289">
            <v>259182207.48439997</v>
          </cell>
          <cell r="F289">
            <v>5799</v>
          </cell>
          <cell r="G289">
            <v>4528514</v>
          </cell>
          <cell r="J289" t="str">
            <v>STW.AXW</v>
          </cell>
          <cell r="K289" t="str">
            <v>STW</v>
          </cell>
          <cell r="L289">
            <v>2</v>
          </cell>
          <cell r="M289">
            <v>3803930547.48</v>
          </cell>
          <cell r="N289">
            <v>65427082</v>
          </cell>
          <cell r="O289">
            <v>37130</v>
          </cell>
          <cell r="P289" t="str">
            <v>ETF Units</v>
          </cell>
          <cell r="Q289" t="str">
            <v>Exchange Traded Fund Units Fully Paid</v>
          </cell>
          <cell r="R289" t="str">
            <v>SPDR S&amp;P/ASX 200 Fund</v>
          </cell>
          <cell r="S289">
            <v>5659</v>
          </cell>
          <cell r="T289">
            <v>226.23020000000002</v>
          </cell>
          <cell r="U289">
            <v>5880</v>
          </cell>
          <cell r="V289">
            <v>5277</v>
          </cell>
          <cell r="X289" t="str">
            <v>STW.AXW</v>
          </cell>
          <cell r="Y289">
            <v>5630</v>
          </cell>
          <cell r="Z289" t="str">
            <v>STW.AXW</v>
          </cell>
          <cell r="AA289">
            <v>5356</v>
          </cell>
          <cell r="AB289" t="str">
            <v>STW.AXW</v>
          </cell>
          <cell r="AC289">
            <v>5094</v>
          </cell>
          <cell r="AD289" t="str">
            <v>STW.AXW</v>
          </cell>
          <cell r="AE289">
            <v>4491</v>
          </cell>
          <cell r="AF289" t="str">
            <v>STW.AXW</v>
          </cell>
          <cell r="AG289">
            <v>5799</v>
          </cell>
        </row>
        <row r="290">
          <cell r="A290" t="str">
            <v>SVS</v>
          </cell>
          <cell r="B290" t="str">
            <v>SVS.ASX</v>
          </cell>
          <cell r="C290" t="str">
            <v>SVS.ASX</v>
          </cell>
          <cell r="D290">
            <v>0</v>
          </cell>
          <cell r="E290">
            <v>0</v>
          </cell>
          <cell r="F290">
            <v>28.499999999999996</v>
          </cell>
          <cell r="G290">
            <v>0</v>
          </cell>
          <cell r="J290" t="str">
            <v>SVS.ASX</v>
          </cell>
          <cell r="K290" t="str">
            <v>SVS</v>
          </cell>
          <cell r="L290">
            <v>2</v>
          </cell>
          <cell r="M290">
            <v>3465321.84</v>
          </cell>
          <cell r="N290">
            <v>12159024</v>
          </cell>
          <cell r="O290">
            <v>32009</v>
          </cell>
          <cell r="P290" t="str">
            <v>Fpo</v>
          </cell>
          <cell r="Q290" t="str">
            <v>Ordinary Fully Paid</v>
          </cell>
          <cell r="R290" t="str">
            <v>Sunvest Corporation Limited</v>
          </cell>
          <cell r="S290">
            <v>46</v>
          </cell>
          <cell r="T290">
            <v>0</v>
          </cell>
          <cell r="U290">
            <v>29</v>
          </cell>
          <cell r="V290">
            <v>27</v>
          </cell>
          <cell r="X290" t="str">
            <v>SVS.ASX</v>
          </cell>
          <cell r="Y290">
            <v>28.499999999999996</v>
          </cell>
          <cell r="Z290" t="str">
            <v>SVS.ASX</v>
          </cell>
          <cell r="AA290">
            <v>27</v>
          </cell>
          <cell r="AB290" t="str">
            <v>SVS.ASX</v>
          </cell>
          <cell r="AC290">
            <v>33</v>
          </cell>
          <cell r="AD290" t="str">
            <v>SVS.ASX</v>
          </cell>
          <cell r="AE290">
            <v>24</v>
          </cell>
          <cell r="AF290" t="str">
            <v>SVS.ASX</v>
          </cell>
          <cell r="AG290">
            <v>28.499999999999996</v>
          </cell>
        </row>
        <row r="291">
          <cell r="A291" t="str">
            <v>SWTZ</v>
          </cell>
          <cell r="B291" t="str">
            <v>SWTZ.AXW</v>
          </cell>
          <cell r="C291" t="str">
            <v>SWTZ.AXW</v>
          </cell>
          <cell r="D291">
            <v>184</v>
          </cell>
          <cell r="E291">
            <v>4256797.1000000006</v>
          </cell>
          <cell r="F291">
            <v>260</v>
          </cell>
          <cell r="G291">
            <v>1659415</v>
          </cell>
          <cell r="J291" t="str">
            <v>SWTZ.AXW</v>
          </cell>
          <cell r="K291" t="str">
            <v>SWTZ</v>
          </cell>
          <cell r="L291">
            <v>2</v>
          </cell>
          <cell r="M291">
            <v>79444317.959999993</v>
          </cell>
          <cell r="N291">
            <v>29574358</v>
          </cell>
          <cell r="O291">
            <v>42790</v>
          </cell>
          <cell r="P291" t="str">
            <v>Tmf Units</v>
          </cell>
          <cell r="Q291" t="str">
            <v>Trading Managed Fund Units Fully Paid</v>
          </cell>
          <cell r="R291" t="str">
            <v>Switzer Dividend Growth Fund (Managed Fund)</v>
          </cell>
          <cell r="S291">
            <v>0</v>
          </cell>
          <cell r="T291">
            <v>9.5516000000000005</v>
          </cell>
          <cell r="U291">
            <v>263</v>
          </cell>
          <cell r="V291">
            <v>242</v>
          </cell>
          <cell r="X291" t="str">
            <v>SWTZ.AXW</v>
          </cell>
          <cell r="Y291">
            <v>250</v>
          </cell>
          <cell r="Z291" t="str">
            <v>SWTZ.AXW</v>
          </cell>
          <cell r="AA291">
            <v>250</v>
          </cell>
          <cell r="AB291" t="str">
            <v>SWTZ.AXW</v>
          </cell>
          <cell r="AC291">
            <v>539</v>
          </cell>
          <cell r="AD291" t="str">
            <v>SWTZ.AXW</v>
          </cell>
          <cell r="AE291">
            <v>346</v>
          </cell>
          <cell r="AF291" t="str">
            <v>SWTZ.AXW</v>
          </cell>
          <cell r="AG291">
            <v>260</v>
          </cell>
        </row>
        <row r="292">
          <cell r="A292" t="str">
            <v>SYD</v>
          </cell>
          <cell r="B292" t="str">
            <v>SYD.ASX</v>
          </cell>
          <cell r="C292" t="str">
            <v>SYD.ASX</v>
          </cell>
          <cell r="D292">
            <v>136249</v>
          </cell>
          <cell r="E292">
            <v>915241462.68275464</v>
          </cell>
          <cell r="F292">
            <v>716</v>
          </cell>
          <cell r="G292">
            <v>124336514</v>
          </cell>
          <cell r="J292" t="str">
            <v>SYD.ASX</v>
          </cell>
          <cell r="K292" t="str">
            <v>SYD</v>
          </cell>
          <cell r="L292">
            <v>2</v>
          </cell>
          <cell r="M292">
            <v>16390708880</v>
          </cell>
          <cell r="N292">
            <v>2253213234</v>
          </cell>
          <cell r="O292">
            <v>37482</v>
          </cell>
          <cell r="P292" t="str">
            <v>Forus</v>
          </cell>
          <cell r="Q292" t="str">
            <v>Fully Paid Stapled Securities Us Prohibited</v>
          </cell>
          <cell r="R292" t="str">
            <v>Sydney Airport</v>
          </cell>
          <cell r="S292">
            <v>-301</v>
          </cell>
          <cell r="T292">
            <v>36.5</v>
          </cell>
          <cell r="U292">
            <v>762</v>
          </cell>
          <cell r="V292">
            <v>631</v>
          </cell>
          <cell r="X292" t="str">
            <v>SYD.ASX</v>
          </cell>
          <cell r="Y292">
            <v>736</v>
          </cell>
          <cell r="Z292" t="str">
            <v>SYD.ASX</v>
          </cell>
          <cell r="AA292">
            <v>709</v>
          </cell>
          <cell r="AB292" t="str">
            <v>SYD.ASX</v>
          </cell>
          <cell r="AC292">
            <v>498.00000000000006</v>
          </cell>
          <cell r="AD292" t="str">
            <v>SYD.ASX</v>
          </cell>
          <cell r="AE292">
            <v>338</v>
          </cell>
          <cell r="AF292" t="str">
            <v>SYD.ASX</v>
          </cell>
          <cell r="AG292">
            <v>716</v>
          </cell>
        </row>
        <row r="293">
          <cell r="A293" t="str">
            <v>SYI</v>
          </cell>
          <cell r="B293" t="str">
            <v>SYI.AXW</v>
          </cell>
          <cell r="C293" t="str">
            <v>SYI.AXW</v>
          </cell>
          <cell r="D293">
            <v>222</v>
          </cell>
          <cell r="E293">
            <v>5528126.6999999993</v>
          </cell>
          <cell r="F293">
            <v>2917</v>
          </cell>
          <cell r="G293">
            <v>191557</v>
          </cell>
          <cell r="J293" t="str">
            <v>SYI.AXW</v>
          </cell>
          <cell r="K293" t="str">
            <v>SYI</v>
          </cell>
          <cell r="L293">
            <v>2</v>
          </cell>
          <cell r="M293">
            <v>185312650.59999999</v>
          </cell>
          <cell r="N293">
            <v>5633310</v>
          </cell>
          <cell r="O293">
            <v>40450</v>
          </cell>
          <cell r="P293" t="str">
            <v>ETF Units</v>
          </cell>
          <cell r="Q293" t="str">
            <v>Exchange Traded Fund Units Fully Paid</v>
          </cell>
          <cell r="R293" t="str">
            <v>SPDR MSCI Australia Select High Dividend Yield Fund</v>
          </cell>
          <cell r="S293">
            <v>0</v>
          </cell>
          <cell r="T293">
            <v>147.2149</v>
          </cell>
          <cell r="U293">
            <v>2998</v>
          </cell>
          <cell r="V293">
            <v>2746</v>
          </cell>
          <cell r="X293" t="str">
            <v>SYI.AXW</v>
          </cell>
          <cell r="Y293">
            <v>2842</v>
          </cell>
          <cell r="Z293" t="str">
            <v>SYI.AXW</v>
          </cell>
          <cell r="AA293">
            <v>2916</v>
          </cell>
          <cell r="AB293" t="str">
            <v>SYI.AXW</v>
          </cell>
          <cell r="AC293">
            <v>2906</v>
          </cell>
          <cell r="AD293" t="str">
            <v>SYI.AXW</v>
          </cell>
          <cell r="AE293">
            <v>2764</v>
          </cell>
          <cell r="AF293" t="str">
            <v>SYI.AXW</v>
          </cell>
          <cell r="AG293">
            <v>2917</v>
          </cell>
        </row>
        <row r="294">
          <cell r="A294" t="str">
            <v>TCL</v>
          </cell>
          <cell r="B294" t="str">
            <v>TCL.ASX</v>
          </cell>
          <cell r="C294" t="str">
            <v>TCL.ASX</v>
          </cell>
          <cell r="D294">
            <v>197752</v>
          </cell>
          <cell r="E294">
            <v>1313398414.7800102</v>
          </cell>
          <cell r="F294">
            <v>1197</v>
          </cell>
          <cell r="G294">
            <v>109123538</v>
          </cell>
          <cell r="J294" t="str">
            <v>TCL.ASX</v>
          </cell>
          <cell r="K294" t="str">
            <v>TCL</v>
          </cell>
          <cell r="L294">
            <v>2</v>
          </cell>
          <cell r="M294">
            <v>27067920400</v>
          </cell>
          <cell r="N294">
            <v>2224727962</v>
          </cell>
          <cell r="O294">
            <v>35139</v>
          </cell>
          <cell r="P294" t="str">
            <v>Stapled</v>
          </cell>
          <cell r="Q294" t="str">
            <v>Ordinary Shares/Units Fully Paid Triple Stapled</v>
          </cell>
          <cell r="R294" t="str">
            <v>Transurban Group</v>
          </cell>
          <cell r="S294">
            <v>294</v>
          </cell>
          <cell r="T294">
            <v>56</v>
          </cell>
          <cell r="U294">
            <v>1311</v>
          </cell>
          <cell r="V294">
            <v>1097</v>
          </cell>
          <cell r="X294" t="str">
            <v>TCL.ASX</v>
          </cell>
          <cell r="Y294">
            <v>1189</v>
          </cell>
          <cell r="Z294" t="str">
            <v>TCL.ASX</v>
          </cell>
          <cell r="AA294">
            <v>1178.6009976267815</v>
          </cell>
          <cell r="AB294" t="str">
            <v>TCL.ASX</v>
          </cell>
          <cell r="AC294">
            <v>921.55556296036366</v>
          </cell>
          <cell r="AD294" t="str">
            <v>TCL.ASX</v>
          </cell>
          <cell r="AE294">
            <v>660.81877412961387</v>
          </cell>
          <cell r="AF294" t="str">
            <v>TCL.ASX</v>
          </cell>
          <cell r="AG294">
            <v>1197</v>
          </cell>
        </row>
        <row r="295">
          <cell r="A295" t="str">
            <v>TECH</v>
          </cell>
          <cell r="B295" t="str">
            <v>TECH.AXW</v>
          </cell>
          <cell r="C295" t="str">
            <v>TECH.AXW</v>
          </cell>
          <cell r="D295">
            <v>485</v>
          </cell>
          <cell r="E295">
            <v>9466460.0199999996</v>
          </cell>
          <cell r="F295">
            <v>6784.9999999999991</v>
          </cell>
          <cell r="G295">
            <v>133005</v>
          </cell>
          <cell r="J295" t="str">
            <v>TECH.AXW</v>
          </cell>
          <cell r="K295" t="str">
            <v>TECH</v>
          </cell>
          <cell r="L295">
            <v>2</v>
          </cell>
          <cell r="M295">
            <v>51976215</v>
          </cell>
          <cell r="N295">
            <v>850018</v>
          </cell>
          <cell r="O295">
            <v>42836</v>
          </cell>
          <cell r="P295" t="str">
            <v>ETF Units</v>
          </cell>
          <cell r="Q295" t="str">
            <v>Exchange Traded Fund Units Fully Paid</v>
          </cell>
          <cell r="R295" t="str">
            <v>ETFS Morningstar Global Technology ETF</v>
          </cell>
          <cell r="S295">
            <v>0</v>
          </cell>
          <cell r="T295">
            <v>370.33519999999999</v>
          </cell>
          <cell r="U295">
            <v>7394</v>
          </cell>
          <cell r="V295">
            <v>5234</v>
          </cell>
          <cell r="X295" t="str">
            <v>TECH.AXW</v>
          </cell>
          <cell r="Y295">
            <v>6901.0000000000009</v>
          </cell>
          <cell r="Z295" t="str">
            <v>TECH.AXW</v>
          </cell>
          <cell r="AA295">
            <v>5307</v>
          </cell>
          <cell r="AB295" t="str">
            <v>TECH.AXW</v>
          </cell>
          <cell r="AC295">
            <v>144.14819991588593</v>
          </cell>
          <cell r="AD295" t="str">
            <v>TECH.AXW</v>
          </cell>
          <cell r="AE295">
            <v>89.764027470494327</v>
          </cell>
          <cell r="AF295" t="str">
            <v>TECH.AXW</v>
          </cell>
          <cell r="AG295">
            <v>6784.9999999999991</v>
          </cell>
        </row>
        <row r="296">
          <cell r="A296" t="str">
            <v>TGG</v>
          </cell>
          <cell r="B296" t="str">
            <v>TGG.ASX</v>
          </cell>
          <cell r="C296" t="str">
            <v>TGG.ASX</v>
          </cell>
          <cell r="D296">
            <v>859</v>
          </cell>
          <cell r="E296">
            <v>6269925.3850000007</v>
          </cell>
          <cell r="F296">
            <v>142</v>
          </cell>
          <cell r="G296">
            <v>4465492</v>
          </cell>
          <cell r="J296" t="str">
            <v>TGG.ASX</v>
          </cell>
          <cell r="K296" t="str">
            <v>TGG</v>
          </cell>
          <cell r="L296">
            <v>2</v>
          </cell>
          <cell r="M296">
            <v>313240425.30000001</v>
          </cell>
          <cell r="N296">
            <v>222156330</v>
          </cell>
          <cell r="O296">
            <v>31925</v>
          </cell>
          <cell r="P296" t="str">
            <v>Fpo</v>
          </cell>
          <cell r="Q296" t="str">
            <v>Ordinary Fully Paid</v>
          </cell>
          <cell r="R296" t="str">
            <v>Templeton Global Growth Fund Limited</v>
          </cell>
          <cell r="S296">
            <v>148</v>
          </cell>
          <cell r="T296">
            <v>4.5</v>
          </cell>
          <cell r="U296">
            <v>145</v>
          </cell>
          <cell r="V296">
            <v>128</v>
          </cell>
          <cell r="X296" t="str">
            <v>TGG.ASX</v>
          </cell>
          <cell r="Y296">
            <v>139.5</v>
          </cell>
          <cell r="Z296" t="str">
            <v>TGG.ASX</v>
          </cell>
          <cell r="AA296">
            <v>136</v>
          </cell>
          <cell r="AB296" t="str">
            <v>TGG.ASX</v>
          </cell>
          <cell r="AC296">
            <v>130.5</v>
          </cell>
          <cell r="AD296" t="str">
            <v>TGG.ASX</v>
          </cell>
          <cell r="AE296">
            <v>101.34648262797747</v>
          </cell>
          <cell r="AF296" t="str">
            <v>TGG.ASX</v>
          </cell>
          <cell r="AG296">
            <v>142</v>
          </cell>
        </row>
        <row r="297">
          <cell r="A297" t="str">
            <v>TGP</v>
          </cell>
          <cell r="B297" t="str">
            <v>TGP.ASX</v>
          </cell>
          <cell r="C297" t="str">
            <v>TGP.ASX</v>
          </cell>
          <cell r="D297">
            <v>489</v>
          </cell>
          <cell r="E297">
            <v>8236001.1450000023</v>
          </cell>
          <cell r="F297">
            <v>101.49999999999999</v>
          </cell>
          <cell r="G297">
            <v>8054310</v>
          </cell>
          <cell r="J297" t="str">
            <v>TGP.ASX</v>
          </cell>
          <cell r="K297" t="str">
            <v>TGP</v>
          </cell>
          <cell r="L297">
            <v>2</v>
          </cell>
          <cell r="M297">
            <v>235383119</v>
          </cell>
          <cell r="N297">
            <v>228527300</v>
          </cell>
          <cell r="O297">
            <v>38559</v>
          </cell>
          <cell r="P297" t="str">
            <v>Stapled</v>
          </cell>
          <cell r="Q297" t="str">
            <v>Stapled Securities Fully Paid</v>
          </cell>
          <cell r="R297" t="str">
            <v>360 Capital Group</v>
          </cell>
          <cell r="S297">
            <v>106</v>
          </cell>
          <cell r="T297">
            <v>26.51</v>
          </cell>
          <cell r="U297">
            <v>110</v>
          </cell>
          <cell r="V297">
            <v>92.5</v>
          </cell>
          <cell r="X297" t="str">
            <v>TGP.ASX</v>
          </cell>
          <cell r="Y297">
            <v>102.49999999999999</v>
          </cell>
          <cell r="Z297" t="str">
            <v>TGP.ASX</v>
          </cell>
          <cell r="AA297">
            <v>96.5</v>
          </cell>
          <cell r="AB297" t="str">
            <v>TGP.ASX</v>
          </cell>
          <cell r="AC297">
            <v>107</v>
          </cell>
          <cell r="AD297" t="str">
            <v>TGP.ASX</v>
          </cell>
          <cell r="AE297">
            <v>48.5</v>
          </cell>
          <cell r="AF297" t="str">
            <v>TGP.ASX</v>
          </cell>
          <cell r="AG297">
            <v>101.49999999999999</v>
          </cell>
        </row>
        <row r="298">
          <cell r="A298" t="str">
            <v>CIP</v>
          </cell>
          <cell r="B298" t="str">
            <v>CIP.ASX</v>
          </cell>
          <cell r="C298" t="str">
            <v>CIP.ASX</v>
          </cell>
          <cell r="D298">
            <v>10338</v>
          </cell>
          <cell r="E298">
            <v>10838760.549899999</v>
          </cell>
          <cell r="F298">
            <v>257</v>
          </cell>
          <cell r="G298">
            <v>4187479</v>
          </cell>
          <cell r="J298" t="str">
            <v>CIP.ASX</v>
          </cell>
          <cell r="K298" t="str">
            <v>CIP</v>
          </cell>
          <cell r="L298">
            <v>2</v>
          </cell>
          <cell r="M298">
            <v>478843904</v>
          </cell>
          <cell r="N298">
            <v>248357166</v>
          </cell>
          <cell r="O298">
            <v>41256</v>
          </cell>
          <cell r="P298" t="str">
            <v>Ord Unit</v>
          </cell>
          <cell r="Q298" t="str">
            <v>Ordinary Units Fully Paid</v>
          </cell>
          <cell r="R298" t="str">
            <v>Centuria Industrial REIT</v>
          </cell>
          <cell r="S298">
            <v>246</v>
          </cell>
          <cell r="T298">
            <v>19.399999999999999</v>
          </cell>
          <cell r="U298">
            <v>270</v>
          </cell>
          <cell r="V298">
            <v>239</v>
          </cell>
          <cell r="X298" t="str">
            <v>CIP.ASX</v>
          </cell>
          <cell r="Y298">
            <v>254.99999999999997</v>
          </cell>
          <cell r="Z298" t="str">
            <v>CIP.ASX</v>
          </cell>
          <cell r="AA298">
            <v>247.00000000000003</v>
          </cell>
          <cell r="AB298" t="str">
            <v>CIP.ASX</v>
          </cell>
          <cell r="AC298">
            <v>241</v>
          </cell>
          <cell r="AD298" t="str">
            <v>CIP.ASX</v>
          </cell>
          <cell r="AE298">
            <v>203.12280035018921</v>
          </cell>
          <cell r="AF298" t="str">
            <v>CIP.ASX</v>
          </cell>
          <cell r="AG298">
            <v>257</v>
          </cell>
        </row>
        <row r="299">
          <cell r="A299" t="str">
            <v>TOP</v>
          </cell>
          <cell r="B299" t="str">
            <v>TOP.ASX</v>
          </cell>
          <cell r="C299" t="str">
            <v>TOP.ASX</v>
          </cell>
          <cell r="D299">
            <v>412</v>
          </cell>
          <cell r="E299">
            <v>2434793.8825000003</v>
          </cell>
          <cell r="F299">
            <v>69</v>
          </cell>
          <cell r="G299">
            <v>3568614</v>
          </cell>
          <cell r="J299" t="str">
            <v>TOP.ASX</v>
          </cell>
          <cell r="K299" t="str">
            <v>TOP</v>
          </cell>
          <cell r="L299">
            <v>2</v>
          </cell>
          <cell r="M299">
            <v>141515364.84999999</v>
          </cell>
          <cell r="N299">
            <v>203619230</v>
          </cell>
          <cell r="O299">
            <v>36607</v>
          </cell>
          <cell r="P299" t="str">
            <v>Fpo</v>
          </cell>
          <cell r="Q299" t="str">
            <v>Ordinary Fully Paid</v>
          </cell>
          <cell r="R299" t="str">
            <v>Thorney Opportunities Ltd</v>
          </cell>
          <cell r="S299">
            <v>76</v>
          </cell>
          <cell r="T299">
            <v>1.25</v>
          </cell>
          <cell r="U299">
            <v>75</v>
          </cell>
          <cell r="V299">
            <v>66</v>
          </cell>
          <cell r="X299" t="str">
            <v>TOP.ASX</v>
          </cell>
          <cell r="Y299">
            <v>68</v>
          </cell>
          <cell r="Z299" t="str">
            <v>TOP.ASX</v>
          </cell>
          <cell r="AA299">
            <v>69.5</v>
          </cell>
          <cell r="AB299" t="str">
            <v>TOP.ASX</v>
          </cell>
          <cell r="AC299">
            <v>46.5</v>
          </cell>
          <cell r="AD299" t="str">
            <v>TOP.ASX</v>
          </cell>
          <cell r="AE299">
            <v>35.959560680389409</v>
          </cell>
          <cell r="AF299" t="str">
            <v>TOP.ASX</v>
          </cell>
          <cell r="AG299">
            <v>69</v>
          </cell>
        </row>
        <row r="300">
          <cell r="A300" t="str">
            <v>TOT</v>
          </cell>
          <cell r="B300" t="str">
            <v>TOT.ASX</v>
          </cell>
          <cell r="C300" t="str">
            <v>TOT.ASX</v>
          </cell>
          <cell r="D300">
            <v>126</v>
          </cell>
          <cell r="E300">
            <v>1211628.5550000002</v>
          </cell>
          <cell r="F300">
            <v>126</v>
          </cell>
          <cell r="G300">
            <v>960610</v>
          </cell>
          <cell r="J300" t="str">
            <v>TOT.ASX</v>
          </cell>
          <cell r="K300" t="str">
            <v>TOT</v>
          </cell>
          <cell r="L300">
            <v>2</v>
          </cell>
          <cell r="M300">
            <v>84292668.159999996</v>
          </cell>
          <cell r="N300">
            <v>65853647</v>
          </cell>
          <cell r="O300">
            <v>42116</v>
          </cell>
          <cell r="P300" t="str">
            <v>Stapled</v>
          </cell>
          <cell r="Q300" t="str">
            <v>Stapled Securities</v>
          </cell>
          <cell r="R300" t="str">
            <v>360 Capital Total Return Fund</v>
          </cell>
          <cell r="S300">
            <v>121</v>
          </cell>
          <cell r="T300">
            <v>9</v>
          </cell>
          <cell r="U300">
            <v>132</v>
          </cell>
          <cell r="V300">
            <v>111</v>
          </cell>
          <cell r="X300" t="str">
            <v>TOT.ASX</v>
          </cell>
          <cell r="Y300">
            <v>120</v>
          </cell>
          <cell r="Z300" t="str">
            <v>TOT.ASX</v>
          </cell>
          <cell r="AA300">
            <v>111.00000000000001</v>
          </cell>
          <cell r="AB300" t="str">
            <v>TOT.ASX</v>
          </cell>
          <cell r="AC300">
            <v>114.09839969873428</v>
          </cell>
          <cell r="AD300" t="str">
            <v>TOT.ASX</v>
          </cell>
          <cell r="AE300">
            <v>37.342620706558229</v>
          </cell>
          <cell r="AF300" t="str">
            <v>TOT.ASX</v>
          </cell>
          <cell r="AG300">
            <v>126</v>
          </cell>
        </row>
        <row r="301">
          <cell r="A301" t="str">
            <v>UBA</v>
          </cell>
          <cell r="B301" t="str">
            <v>UBA.AXW</v>
          </cell>
          <cell r="C301" t="str">
            <v>UBA.AXW</v>
          </cell>
          <cell r="D301">
            <v>19</v>
          </cell>
          <cell r="E301">
            <v>224009.75000000006</v>
          </cell>
          <cell r="F301">
            <v>2098</v>
          </cell>
          <cell r="G301">
            <v>10897</v>
          </cell>
          <cell r="J301" t="str">
            <v>UBA.AXW</v>
          </cell>
          <cell r="K301" t="str">
            <v>UBA</v>
          </cell>
          <cell r="L301">
            <v>2</v>
          </cell>
          <cell r="M301">
            <v>203238453</v>
          </cell>
          <cell r="N301">
            <v>9752325</v>
          </cell>
          <cell r="O301">
            <v>42054</v>
          </cell>
          <cell r="P301" t="str">
            <v>ETF Units</v>
          </cell>
          <cell r="Q301" t="str">
            <v>Exchange Traded Fund Units Fully Paid</v>
          </cell>
          <cell r="R301" t="str">
            <v>UBS Iq MSCI Australia Ethical ETF</v>
          </cell>
          <cell r="S301">
            <v>0</v>
          </cell>
          <cell r="T301">
            <v>82.882000000000005</v>
          </cell>
          <cell r="U301">
            <v>2121</v>
          </cell>
          <cell r="V301">
            <v>1914</v>
          </cell>
          <cell r="X301" t="str">
            <v>UBA.AXW</v>
          </cell>
          <cell r="Y301">
            <v>2049</v>
          </cell>
          <cell r="Z301" t="str">
            <v>UBA.AXW</v>
          </cell>
          <cell r="AA301">
            <v>1929</v>
          </cell>
          <cell r="AB301" t="str">
            <v>UBA.AXW</v>
          </cell>
          <cell r="AC301">
            <v>1864</v>
          </cell>
          <cell r="AD301" t="str">
            <v>UBA.AXW</v>
          </cell>
          <cell r="AF301" t="str">
            <v>UBA.AXW</v>
          </cell>
          <cell r="AG301">
            <v>2098</v>
          </cell>
        </row>
        <row r="302">
          <cell r="A302" t="str">
            <v>UBE</v>
          </cell>
          <cell r="B302" t="str">
            <v>UBE.AXW</v>
          </cell>
          <cell r="C302" t="str">
            <v>UBE.AXW</v>
          </cell>
          <cell r="D302">
            <v>28</v>
          </cell>
          <cell r="E302">
            <v>325142.42999999993</v>
          </cell>
          <cell r="F302">
            <v>2144</v>
          </cell>
          <cell r="G302">
            <v>14727</v>
          </cell>
          <cell r="J302" t="str">
            <v>UBE.AXW</v>
          </cell>
          <cell r="K302" t="str">
            <v>UBE</v>
          </cell>
          <cell r="L302">
            <v>2</v>
          </cell>
          <cell r="M302">
            <v>11113140.1</v>
          </cell>
          <cell r="N302">
            <v>516170</v>
          </cell>
          <cell r="O302">
            <v>42054</v>
          </cell>
          <cell r="P302" t="str">
            <v>ETF Units</v>
          </cell>
          <cell r="Q302" t="str">
            <v>Exchange Traded Fund Units Fully Paid</v>
          </cell>
          <cell r="R302" t="str">
            <v>UBS Iq MSCI Europe Ethical ETF</v>
          </cell>
          <cell r="S302">
            <v>0</v>
          </cell>
          <cell r="T302">
            <v>58.098399999999998</v>
          </cell>
          <cell r="U302">
            <v>2296</v>
          </cell>
          <cell r="V302">
            <v>1991</v>
          </cell>
          <cell r="X302" t="str">
            <v>UBE.AXW</v>
          </cell>
          <cell r="Y302">
            <v>2174</v>
          </cell>
          <cell r="Z302" t="str">
            <v>UBE.AXW</v>
          </cell>
          <cell r="AA302">
            <v>2030.9999999999998</v>
          </cell>
          <cell r="AB302" t="str">
            <v>UBE.AXW</v>
          </cell>
          <cell r="AC302">
            <v>2014</v>
          </cell>
          <cell r="AD302" t="str">
            <v>UBE.AXW</v>
          </cell>
          <cell r="AF302" t="str">
            <v>UBE.AXW</v>
          </cell>
          <cell r="AG302">
            <v>2144</v>
          </cell>
        </row>
        <row r="303">
          <cell r="A303" t="str">
            <v>UBJ</v>
          </cell>
          <cell r="B303" t="str">
            <v>UBJ.AXW</v>
          </cell>
          <cell r="C303" t="str">
            <v>UBJ.AXW</v>
          </cell>
          <cell r="D303">
            <v>8</v>
          </cell>
          <cell r="E303">
            <v>65855.81</v>
          </cell>
          <cell r="F303">
            <v>2445</v>
          </cell>
          <cell r="G303">
            <v>2687</v>
          </cell>
          <cell r="J303" t="str">
            <v>UBJ.AXW</v>
          </cell>
          <cell r="K303" t="str">
            <v>UBJ</v>
          </cell>
          <cell r="L303">
            <v>2</v>
          </cell>
          <cell r="M303">
            <v>4482863.4400000004</v>
          </cell>
          <cell r="N303">
            <v>190436</v>
          </cell>
          <cell r="O303">
            <v>42088</v>
          </cell>
          <cell r="P303" t="str">
            <v>ETF Units</v>
          </cell>
          <cell r="Q303" t="str">
            <v>Exchange Traded Fund Units Fully Paid</v>
          </cell>
          <cell r="R303" t="str">
            <v>UBS Iq MSCI Japan Ethical ETF</v>
          </cell>
          <cell r="S303">
            <v>0</v>
          </cell>
          <cell r="T303">
            <v>37.2102</v>
          </cell>
          <cell r="U303">
            <v>2495</v>
          </cell>
          <cell r="V303">
            <v>2057</v>
          </cell>
          <cell r="X303" t="str">
            <v>UBJ.AXW</v>
          </cell>
          <cell r="Y303">
            <v>2466</v>
          </cell>
          <cell r="Z303" t="str">
            <v>UBJ.AXW</v>
          </cell>
          <cell r="AA303">
            <v>2116</v>
          </cell>
          <cell r="AB303" t="str">
            <v>UBJ.AXW</v>
          </cell>
          <cell r="AC303">
            <v>2061</v>
          </cell>
          <cell r="AD303" t="str">
            <v>UBJ.AXW</v>
          </cell>
          <cell r="AF303" t="str">
            <v>UBJ.AXW</v>
          </cell>
          <cell r="AG303">
            <v>2445</v>
          </cell>
        </row>
        <row r="304">
          <cell r="A304" t="str">
            <v>UBP</v>
          </cell>
          <cell r="B304" t="str">
            <v>UBP.AXW</v>
          </cell>
          <cell r="C304" t="str">
            <v>UBP.AXW</v>
          </cell>
          <cell r="D304">
            <v>89</v>
          </cell>
          <cell r="E304">
            <v>1015253.0199999999</v>
          </cell>
          <cell r="F304">
            <v>2554</v>
          </cell>
          <cell r="G304">
            <v>37992</v>
          </cell>
          <cell r="J304" t="str">
            <v>UBP.AXW</v>
          </cell>
          <cell r="K304" t="str">
            <v>UBP</v>
          </cell>
          <cell r="L304">
            <v>2</v>
          </cell>
          <cell r="M304">
            <v>8821890</v>
          </cell>
          <cell r="N304">
            <v>350075</v>
          </cell>
          <cell r="O304">
            <v>42132</v>
          </cell>
          <cell r="P304" t="str">
            <v>ETF Units</v>
          </cell>
          <cell r="Q304" t="str">
            <v>Exchange Traded Fund Units Fully Paid</v>
          </cell>
          <cell r="R304" t="str">
            <v>UBS Iq MSCI Asia Apex 50 Ethical ETF</v>
          </cell>
          <cell r="S304">
            <v>0</v>
          </cell>
          <cell r="T304">
            <v>26.202200000000001</v>
          </cell>
          <cell r="U304">
            <v>2779</v>
          </cell>
          <cell r="V304">
            <v>2204</v>
          </cell>
          <cell r="X304" t="str">
            <v>UBP.AXW</v>
          </cell>
          <cell r="Y304">
            <v>2640</v>
          </cell>
          <cell r="Z304" t="str">
            <v>UBP.AXW</v>
          </cell>
          <cell r="AA304">
            <v>2216</v>
          </cell>
          <cell r="AB304" t="str">
            <v>UBP.AXW</v>
          </cell>
          <cell r="AC304">
            <v>1920</v>
          </cell>
          <cell r="AD304" t="str">
            <v>UBP.AXW</v>
          </cell>
          <cell r="AF304" t="str">
            <v>UBP.AXW</v>
          </cell>
          <cell r="AG304">
            <v>2554</v>
          </cell>
        </row>
        <row r="305">
          <cell r="A305" t="str">
            <v>UBU</v>
          </cell>
          <cell r="B305" t="str">
            <v>UBU.AXW</v>
          </cell>
          <cell r="C305" t="str">
            <v>UBU.AXW</v>
          </cell>
          <cell r="D305">
            <v>8</v>
          </cell>
          <cell r="E305">
            <v>85170.709999999992</v>
          </cell>
          <cell r="F305">
            <v>2712</v>
          </cell>
          <cell r="G305">
            <v>3123</v>
          </cell>
          <cell r="J305" t="str">
            <v>UBU.AXW</v>
          </cell>
          <cell r="K305" t="str">
            <v>UBU</v>
          </cell>
          <cell r="L305">
            <v>2</v>
          </cell>
          <cell r="M305">
            <v>6968576.3399999999</v>
          </cell>
          <cell r="N305">
            <v>250398</v>
          </cell>
          <cell r="O305">
            <v>42054</v>
          </cell>
          <cell r="P305" t="str">
            <v>ETF Units</v>
          </cell>
          <cell r="Q305" t="str">
            <v>Exchange Traded Fund Units Fully Paid</v>
          </cell>
          <cell r="R305" t="str">
            <v>UBS Iq MSCI Usa Ethical ETF</v>
          </cell>
          <cell r="S305">
            <v>0</v>
          </cell>
          <cell r="T305">
            <v>42.283700000000003</v>
          </cell>
          <cell r="U305">
            <v>2799</v>
          </cell>
          <cell r="V305">
            <v>2243</v>
          </cell>
          <cell r="X305" t="str">
            <v>UBU.AXW</v>
          </cell>
          <cell r="Y305">
            <v>2675</v>
          </cell>
          <cell r="Z305" t="str">
            <v>UBU.AXW</v>
          </cell>
          <cell r="AA305">
            <v>2316</v>
          </cell>
          <cell r="AB305" t="str">
            <v>UBU.AXW</v>
          </cell>
          <cell r="AC305">
            <v>2007.9999999999998</v>
          </cell>
          <cell r="AD305" t="str">
            <v>UBU.AXW</v>
          </cell>
          <cell r="AF305" t="str">
            <v>UBU.AXW</v>
          </cell>
          <cell r="AG305">
            <v>2712</v>
          </cell>
        </row>
        <row r="306">
          <cell r="A306" t="str">
            <v>UBW</v>
          </cell>
          <cell r="B306" t="str">
            <v>UBW.AXW</v>
          </cell>
          <cell r="C306" t="str">
            <v>UBW.AXW</v>
          </cell>
          <cell r="D306">
            <v>123</v>
          </cell>
          <cell r="E306">
            <v>2334690.5799999996</v>
          </cell>
          <cell r="F306">
            <v>2517</v>
          </cell>
          <cell r="G306">
            <v>91097</v>
          </cell>
          <cell r="J306" t="str">
            <v>UBW.AXW</v>
          </cell>
          <cell r="K306" t="str">
            <v>UBW</v>
          </cell>
          <cell r="L306">
            <v>2</v>
          </cell>
          <cell r="M306">
            <v>29250862.440000001</v>
          </cell>
          <cell r="N306">
            <v>1162132</v>
          </cell>
          <cell r="O306">
            <v>42054</v>
          </cell>
          <cell r="P306" t="str">
            <v>ETF Units</v>
          </cell>
          <cell r="Q306" t="str">
            <v>Exchange Traded Fund Units Fully Paid</v>
          </cell>
          <cell r="R306" t="str">
            <v>UBS Iq MSCI World Ex Australia Ethical ETF</v>
          </cell>
          <cell r="S306">
            <v>0</v>
          </cell>
          <cell r="T306">
            <v>48.383299999999998</v>
          </cell>
          <cell r="U306">
            <v>2700</v>
          </cell>
          <cell r="V306">
            <v>2158</v>
          </cell>
          <cell r="X306" t="str">
            <v>UBW.AXW</v>
          </cell>
          <cell r="Y306">
            <v>2511</v>
          </cell>
          <cell r="Z306" t="str">
            <v>UBW.AXW</v>
          </cell>
          <cell r="AA306">
            <v>2228</v>
          </cell>
          <cell r="AB306" t="str">
            <v>UBW.AXW</v>
          </cell>
          <cell r="AC306">
            <v>2051</v>
          </cell>
          <cell r="AD306" t="str">
            <v>UBW.AXW</v>
          </cell>
          <cell r="AF306" t="str">
            <v>UBW.AXW</v>
          </cell>
          <cell r="AG306">
            <v>2517</v>
          </cell>
        </row>
        <row r="307">
          <cell r="A307" t="str">
            <v>UMAX</v>
          </cell>
          <cell r="B307" t="str">
            <v>UMAX.AXW</v>
          </cell>
          <cell r="C307" t="str">
            <v>UMAX.AXW</v>
          </cell>
          <cell r="D307">
            <v>216</v>
          </cell>
          <cell r="E307">
            <v>3168963.8099999991</v>
          </cell>
          <cell r="F307">
            <v>1920</v>
          </cell>
          <cell r="G307">
            <v>166649</v>
          </cell>
          <cell r="J307" t="str">
            <v>UMAX.AXW</v>
          </cell>
          <cell r="K307" t="str">
            <v>UMAX</v>
          </cell>
          <cell r="L307">
            <v>2</v>
          </cell>
          <cell r="M307">
            <v>94147004.819999993</v>
          </cell>
          <cell r="N307">
            <v>4847294</v>
          </cell>
          <cell r="O307">
            <v>41901</v>
          </cell>
          <cell r="P307" t="str">
            <v>ETF Units</v>
          </cell>
          <cell r="Q307" t="str">
            <v>Exchange Traded Fund Units Fully Paid</v>
          </cell>
          <cell r="R307" t="str">
            <v>BETASHARES S&amp;P 500 YIELD MAXIMISER FUND</v>
          </cell>
          <cell r="S307">
            <v>0</v>
          </cell>
          <cell r="T307">
            <v>84.906800000000004</v>
          </cell>
          <cell r="U307">
            <v>1960</v>
          </cell>
          <cell r="V307">
            <v>1668</v>
          </cell>
          <cell r="X307" t="str">
            <v>UMAX.AXW</v>
          </cell>
          <cell r="Y307">
            <v>1872</v>
          </cell>
          <cell r="Z307" t="str">
            <v>UMAX.AXW</v>
          </cell>
          <cell r="AA307">
            <v>1773.9999999999998</v>
          </cell>
          <cell r="AB307" t="str">
            <v>UMAX.AXW</v>
          </cell>
          <cell r="AC307">
            <v>1717.0000000000002</v>
          </cell>
          <cell r="AD307" t="str">
            <v>UMAX.AXW</v>
          </cell>
          <cell r="AF307" t="str">
            <v>UMAX.AXW</v>
          </cell>
          <cell r="AG307">
            <v>1920</v>
          </cell>
        </row>
        <row r="308">
          <cell r="A308" t="str">
            <v>CD3</v>
          </cell>
          <cell r="B308" t="str">
            <v>CD3.ASX</v>
          </cell>
          <cell r="C308" t="str">
            <v>CD3.ASX</v>
          </cell>
          <cell r="D308">
            <v>29</v>
          </cell>
          <cell r="E308">
            <v>341203.97499999998</v>
          </cell>
          <cell r="F308">
            <v>159</v>
          </cell>
          <cell r="G308">
            <v>215484</v>
          </cell>
          <cell r="J308" t="str">
            <v>CD3.ASX</v>
          </cell>
          <cell r="K308" t="str">
            <v>CD3</v>
          </cell>
          <cell r="L308">
            <v>2</v>
          </cell>
          <cell r="M308">
            <v>114525187.8</v>
          </cell>
          <cell r="N308">
            <v>72028420</v>
          </cell>
          <cell r="O308">
            <v>42578</v>
          </cell>
          <cell r="P308" t="str">
            <v>Units</v>
          </cell>
          <cell r="Q308" t="str">
            <v>Ordinary Units Fully Paid</v>
          </cell>
          <cell r="R308" t="str">
            <v>Cordish Dixon Private Equity Fund Iii</v>
          </cell>
          <cell r="S308">
            <v>153</v>
          </cell>
          <cell r="U308">
            <v>162.5</v>
          </cell>
          <cell r="V308">
            <v>147</v>
          </cell>
          <cell r="X308" t="str">
            <v>CD3.ASX</v>
          </cell>
          <cell r="Y308">
            <v>158</v>
          </cell>
          <cell r="Z308" t="str">
            <v>CD3.ASX</v>
          </cell>
          <cell r="AA308">
            <v>160</v>
          </cell>
          <cell r="AB308" t="str">
            <v>CD3.ASX</v>
          </cell>
          <cell r="AC308">
            <v>216</v>
          </cell>
          <cell r="AD308" t="str">
            <v>CD3.ASX</v>
          </cell>
          <cell r="AE308">
            <v>185.14440232515335</v>
          </cell>
          <cell r="AF308" t="str">
            <v>CD3.ASX</v>
          </cell>
          <cell r="AG308">
            <v>159</v>
          </cell>
        </row>
        <row r="309">
          <cell r="A309" t="str">
            <v>URB</v>
          </cell>
          <cell r="B309" t="str">
            <v>URB.ASX</v>
          </cell>
          <cell r="C309" t="str">
            <v>URB.ASX</v>
          </cell>
          <cell r="D309">
            <v>376</v>
          </cell>
          <cell r="E309">
            <v>2497502.6524999999</v>
          </cell>
          <cell r="F309">
            <v>90</v>
          </cell>
          <cell r="G309">
            <v>2765414</v>
          </cell>
          <cell r="J309" t="str">
            <v>URB.ASX</v>
          </cell>
          <cell r="K309" t="str">
            <v>URB</v>
          </cell>
          <cell r="L309">
            <v>2</v>
          </cell>
          <cell r="M309">
            <v>66581681.530000001</v>
          </cell>
          <cell r="N309">
            <v>73166683</v>
          </cell>
          <cell r="O309">
            <v>42837</v>
          </cell>
          <cell r="P309" t="str">
            <v>Fpo</v>
          </cell>
          <cell r="Q309" t="str">
            <v>Ordinary Fully Paid</v>
          </cell>
          <cell r="R309" t="str">
            <v>URB Investments Limited</v>
          </cell>
          <cell r="S309">
            <v>105</v>
          </cell>
          <cell r="T309">
            <v>0.5</v>
          </cell>
          <cell r="U309">
            <v>110</v>
          </cell>
          <cell r="V309">
            <v>88</v>
          </cell>
          <cell r="X309" t="str">
            <v>URB.ASX</v>
          </cell>
          <cell r="Y309">
            <v>97.5</v>
          </cell>
          <cell r="Z309" t="str">
            <v>URB.ASX</v>
          </cell>
          <cell r="AA309">
            <v>106.5</v>
          </cell>
          <cell r="AB309" t="str">
            <v>URB.ASX</v>
          </cell>
          <cell r="AC309">
            <v>211</v>
          </cell>
          <cell r="AD309" t="str">
            <v>URB.ASX</v>
          </cell>
          <cell r="AE309">
            <v>171.43000215291977</v>
          </cell>
          <cell r="AF309" t="str">
            <v>URB.ASX</v>
          </cell>
          <cell r="AG309">
            <v>90</v>
          </cell>
        </row>
        <row r="310">
          <cell r="A310" t="str">
            <v>URF</v>
          </cell>
          <cell r="B310" t="str">
            <v>URF.ASX</v>
          </cell>
          <cell r="C310" t="str">
            <v>URF.ASX</v>
          </cell>
          <cell r="D310">
            <v>283</v>
          </cell>
          <cell r="E310">
            <v>3219024.2450000001</v>
          </cell>
          <cell r="F310">
            <v>156</v>
          </cell>
          <cell r="G310">
            <v>2040086</v>
          </cell>
          <cell r="J310" t="str">
            <v>URF.ASX</v>
          </cell>
          <cell r="K310" t="str">
            <v>URF</v>
          </cell>
          <cell r="L310">
            <v>2</v>
          </cell>
          <cell r="M310">
            <v>544827779.49000001</v>
          </cell>
          <cell r="N310">
            <v>360813099</v>
          </cell>
          <cell r="O310">
            <v>41113</v>
          </cell>
          <cell r="P310" t="str">
            <v>Ord Units</v>
          </cell>
          <cell r="Q310" t="str">
            <v>Ordinary Units Fully Paid</v>
          </cell>
          <cell r="R310" t="str">
            <v>US Masters Residential Property Fund</v>
          </cell>
          <cell r="S310">
            <v>150</v>
          </cell>
          <cell r="T310">
            <v>10</v>
          </cell>
          <cell r="U310">
            <v>187</v>
          </cell>
          <cell r="V310">
            <v>149</v>
          </cell>
          <cell r="X310" t="str">
            <v>URF.ASX</v>
          </cell>
          <cell r="Y310">
            <v>161</v>
          </cell>
          <cell r="Z310" t="str">
            <v>URF.ASX</v>
          </cell>
          <cell r="AA310">
            <v>186</v>
          </cell>
          <cell r="AB310" t="str">
            <v>URF.ASX</v>
          </cell>
          <cell r="AC310">
            <v>216</v>
          </cell>
          <cell r="AD310" t="str">
            <v>URF.ASX</v>
          </cell>
          <cell r="AE310">
            <v>181.22600227594376</v>
          </cell>
          <cell r="AF310" t="str">
            <v>URF.ASX</v>
          </cell>
          <cell r="AG310">
            <v>156</v>
          </cell>
        </row>
        <row r="311">
          <cell r="A311" t="str">
            <v>URW</v>
          </cell>
          <cell r="B311" t="str">
            <v>URW.ASX</v>
          </cell>
          <cell r="C311" t="str">
            <v>URW.ASX</v>
          </cell>
          <cell r="D311">
            <v>135267</v>
          </cell>
          <cell r="E311">
            <v>1154434885.8478107</v>
          </cell>
          <cell r="F311">
            <v>1467</v>
          </cell>
          <cell r="G311">
            <v>78367769</v>
          </cell>
          <cell r="J311" t="str">
            <v>URW.ASX</v>
          </cell>
          <cell r="K311" t="str">
            <v>URW</v>
          </cell>
          <cell r="L311">
            <v>2</v>
          </cell>
          <cell r="M311">
            <v>10420062353.582224</v>
          </cell>
          <cell r="N311">
            <v>661694860</v>
          </cell>
          <cell r="O311">
            <v>43251</v>
          </cell>
          <cell r="P311" t="str">
            <v>Cdi 20:1</v>
          </cell>
          <cell r="Q311" t="str">
            <v>Chess Depositary Interests 20:1</v>
          </cell>
          <cell r="R311" t="str">
            <v>Unibail-Rodamco-Westfield</v>
          </cell>
          <cell r="S311">
            <v>0</v>
          </cell>
          <cell r="U311">
            <v>1517</v>
          </cell>
          <cell r="V311">
            <v>1440</v>
          </cell>
          <cell r="X311" t="str">
            <v>URW.ASX</v>
          </cell>
          <cell r="Z311" t="str">
            <v>URW.ASX</v>
          </cell>
          <cell r="AB311" t="str">
            <v>URW.ASX</v>
          </cell>
          <cell r="AD311" t="str">
            <v>URW.ASX</v>
          </cell>
          <cell r="AF311" t="str">
            <v>URW.ASX</v>
          </cell>
          <cell r="AG311">
            <v>1467</v>
          </cell>
        </row>
        <row r="312">
          <cell r="A312" t="str">
            <v>USD</v>
          </cell>
          <cell r="B312" t="str">
            <v>USD.AXW</v>
          </cell>
          <cell r="C312" t="str">
            <v>USD.AXW</v>
          </cell>
          <cell r="D312">
            <v>1050</v>
          </cell>
          <cell r="E312">
            <v>43036068.597599998</v>
          </cell>
          <cell r="F312">
            <v>1322</v>
          </cell>
          <cell r="G312">
            <v>3283130</v>
          </cell>
          <cell r="J312" t="str">
            <v>USD.AXW</v>
          </cell>
          <cell r="K312" t="str">
            <v>USD</v>
          </cell>
          <cell r="L312">
            <v>2</v>
          </cell>
          <cell r="M312">
            <v>477321990.22000003</v>
          </cell>
          <cell r="N312">
            <v>35015629</v>
          </cell>
          <cell r="O312">
            <v>40575</v>
          </cell>
          <cell r="P312" t="str">
            <v>ETF Units</v>
          </cell>
          <cell r="Q312" t="str">
            <v>Exchange Traded Fund Units Fully Paid</v>
          </cell>
          <cell r="R312" t="str">
            <v>Betashares U.S. Dollar ETF</v>
          </cell>
          <cell r="S312">
            <v>0</v>
          </cell>
          <cell r="T312">
            <v>10.4695</v>
          </cell>
          <cell r="U312">
            <v>1331</v>
          </cell>
          <cell r="V312">
            <v>1197</v>
          </cell>
          <cell r="X312" t="str">
            <v>USD.AXW</v>
          </cell>
          <cell r="Y312">
            <v>1301</v>
          </cell>
          <cell r="Z312" t="str">
            <v>USD.AXW</v>
          </cell>
          <cell r="AA312">
            <v>1267</v>
          </cell>
          <cell r="AB312" t="str">
            <v>USD.AXW</v>
          </cell>
          <cell r="AC312">
            <v>1276</v>
          </cell>
          <cell r="AD312" t="str">
            <v>USD.AXW</v>
          </cell>
          <cell r="AE312">
            <v>1068</v>
          </cell>
          <cell r="AF312" t="str">
            <v>USD.AXW</v>
          </cell>
          <cell r="AG312">
            <v>1322</v>
          </cell>
        </row>
        <row r="313">
          <cell r="A313" t="str">
            <v>CD1</v>
          </cell>
          <cell r="B313" t="str">
            <v>CD1.ASX</v>
          </cell>
          <cell r="C313" t="str">
            <v>CD1.ASX</v>
          </cell>
          <cell r="D313">
            <v>21</v>
          </cell>
          <cell r="E313">
            <v>88549.53</v>
          </cell>
          <cell r="F313">
            <v>174</v>
          </cell>
          <cell r="G313">
            <v>52202</v>
          </cell>
          <cell r="J313" t="str">
            <v>CD1.ASX</v>
          </cell>
          <cell r="K313" t="str">
            <v>CD1</v>
          </cell>
          <cell r="L313">
            <v>2</v>
          </cell>
          <cell r="M313">
            <v>67883865.840000004</v>
          </cell>
          <cell r="N313">
            <v>39013716</v>
          </cell>
          <cell r="O313">
            <v>41135</v>
          </cell>
          <cell r="P313" t="str">
            <v>Unit</v>
          </cell>
          <cell r="Q313" t="str">
            <v>Ordinary Units Fully Paid</v>
          </cell>
          <cell r="R313" t="str">
            <v>Cordish Dixon Private Equity Fund I</v>
          </cell>
          <cell r="S313">
            <v>186</v>
          </cell>
          <cell r="U313">
            <v>184.94559979438782</v>
          </cell>
          <cell r="V313">
            <v>157.51023742903016</v>
          </cell>
          <cell r="X313" t="str">
            <v>CD1.ASX</v>
          </cell>
          <cell r="Y313">
            <v>180</v>
          </cell>
          <cell r="Z313" t="str">
            <v>CD1.ASX</v>
          </cell>
          <cell r="AA313">
            <v>175.48694930951726</v>
          </cell>
          <cell r="AB313" t="str">
            <v>CD1.ASX</v>
          </cell>
          <cell r="AC313">
            <v>167.52418206431884</v>
          </cell>
          <cell r="AD313" t="str">
            <v>CD1.ASX</v>
          </cell>
          <cell r="AE313">
            <v>124.56926358628836</v>
          </cell>
          <cell r="AF313" t="str">
            <v>CD1.ASX</v>
          </cell>
          <cell r="AG313">
            <v>174</v>
          </cell>
        </row>
        <row r="314">
          <cell r="A314" t="str">
            <v>CD2</v>
          </cell>
          <cell r="B314" t="str">
            <v>CD2.ASX</v>
          </cell>
          <cell r="C314" t="str">
            <v>CD2.ASX</v>
          </cell>
          <cell r="D314">
            <v>19</v>
          </cell>
          <cell r="E314">
            <v>245447.75</v>
          </cell>
          <cell r="F314">
            <v>204.99999999999997</v>
          </cell>
          <cell r="G314">
            <v>120754</v>
          </cell>
          <cell r="J314" t="str">
            <v>CD2.ASX</v>
          </cell>
          <cell r="K314" t="str">
            <v>CD2</v>
          </cell>
          <cell r="L314">
            <v>2</v>
          </cell>
          <cell r="M314">
            <v>113139582</v>
          </cell>
          <cell r="N314">
            <v>55190040</v>
          </cell>
          <cell r="O314">
            <v>41373</v>
          </cell>
          <cell r="P314" t="str">
            <v>Unit</v>
          </cell>
          <cell r="Q314" t="str">
            <v>Ordinary Units Fully Paid</v>
          </cell>
          <cell r="R314" t="str">
            <v>Cordish Dixon Private Equity Fund II</v>
          </cell>
          <cell r="S314">
            <v>203</v>
          </cell>
          <cell r="U314">
            <v>210</v>
          </cell>
          <cell r="V314">
            <v>181.2546010017395</v>
          </cell>
          <cell r="X314" t="str">
            <v>CD2.ASX</v>
          </cell>
          <cell r="Y314">
            <v>204</v>
          </cell>
          <cell r="Z314" t="str">
            <v>CD2.ASX</v>
          </cell>
          <cell r="AA314">
            <v>192.91950106620789</v>
          </cell>
          <cell r="AB314" t="str">
            <v>CD2.ASX</v>
          </cell>
          <cell r="AC314">
            <v>200.09790110588074</v>
          </cell>
          <cell r="AD314" t="str">
            <v>CD2.ASX</v>
          </cell>
          <cell r="AE314">
            <v>158.82210087776184</v>
          </cell>
          <cell r="AF314" t="str">
            <v>CD2.ASX</v>
          </cell>
          <cell r="AG314">
            <v>204.99999999999997</v>
          </cell>
        </row>
        <row r="315">
          <cell r="A315" t="str">
            <v>VACF</v>
          </cell>
          <cell r="B315" t="str">
            <v>VACF.AXW</v>
          </cell>
          <cell r="C315" t="str">
            <v>VACF.AXW</v>
          </cell>
          <cell r="D315">
            <v>315</v>
          </cell>
          <cell r="E315">
            <v>9425403.8199999984</v>
          </cell>
          <cell r="F315">
            <v>5064</v>
          </cell>
          <cell r="G315">
            <v>186552</v>
          </cell>
          <cell r="J315" t="str">
            <v>VACF.AXW</v>
          </cell>
          <cell r="K315" t="str">
            <v>VACF</v>
          </cell>
          <cell r="L315">
            <v>2</v>
          </cell>
          <cell r="M315">
            <v>117707126.68000001</v>
          </cell>
          <cell r="N315">
            <v>2501386</v>
          </cell>
          <cell r="O315">
            <v>42515</v>
          </cell>
          <cell r="P315" t="str">
            <v>ETF Units</v>
          </cell>
          <cell r="Q315" t="str">
            <v>Exchange Traded Fund Units Fully Paid</v>
          </cell>
          <cell r="R315" t="str">
            <v>Vanguard Australian Corporate Fixed Interest Index ETF</v>
          </cell>
          <cell r="S315">
            <v>0</v>
          </cell>
          <cell r="T315">
            <v>123.76130000000001</v>
          </cell>
          <cell r="U315">
            <v>5081</v>
          </cell>
          <cell r="V315">
            <v>4960</v>
          </cell>
          <cell r="X315" t="str">
            <v>VACF.AXW</v>
          </cell>
          <cell r="Y315">
            <v>5055</v>
          </cell>
          <cell r="Z315" t="str">
            <v>VACF.AXW</v>
          </cell>
          <cell r="AA315">
            <v>5034</v>
          </cell>
          <cell r="AB315" t="str">
            <v>VACF.AXW</v>
          </cell>
          <cell r="AC315">
            <v>5090</v>
          </cell>
          <cell r="AD315" t="str">
            <v>VACF.AXW</v>
          </cell>
          <cell r="AE315">
            <v>4947</v>
          </cell>
          <cell r="AF315" t="str">
            <v>VACF.AXW</v>
          </cell>
          <cell r="AG315">
            <v>5064</v>
          </cell>
        </row>
        <row r="316">
          <cell r="A316" t="str">
            <v>VAE</v>
          </cell>
          <cell r="B316" t="str">
            <v>VAE.AXW</v>
          </cell>
          <cell r="C316" t="str">
            <v>VAE.AXW</v>
          </cell>
          <cell r="D316">
            <v>711</v>
          </cell>
          <cell r="E316">
            <v>25907970.989999995</v>
          </cell>
          <cell r="F316">
            <v>6512</v>
          </cell>
          <cell r="G316">
            <v>388576</v>
          </cell>
          <cell r="J316" t="str">
            <v>VAE.AXW</v>
          </cell>
          <cell r="K316" t="str">
            <v>VAE</v>
          </cell>
          <cell r="L316">
            <v>2</v>
          </cell>
          <cell r="M316">
            <v>84563880</v>
          </cell>
          <cell r="N316">
            <v>1494000</v>
          </cell>
          <cell r="O316">
            <v>42349</v>
          </cell>
          <cell r="P316" t="str">
            <v>ETF Units</v>
          </cell>
          <cell r="Q316" t="str">
            <v>Exchange Traded Fund Units Fully Paid</v>
          </cell>
          <cell r="R316" t="str">
            <v>Vanguard Ftse Asia Ex Japan Shares Index ETF</v>
          </cell>
          <cell r="S316">
            <v>0</v>
          </cell>
          <cell r="T316">
            <v>181.52250000000001</v>
          </cell>
          <cell r="U316">
            <v>6980</v>
          </cell>
          <cell r="V316">
            <v>5879</v>
          </cell>
          <cell r="X316" t="str">
            <v>VAE.AXW</v>
          </cell>
          <cell r="Y316">
            <v>6690.0000000000009</v>
          </cell>
          <cell r="Z316" t="str">
            <v>VAE.AXW</v>
          </cell>
          <cell r="AA316">
            <v>5981</v>
          </cell>
          <cell r="AB316" t="str">
            <v>VAE.AXW</v>
          </cell>
          <cell r="AC316">
            <v>5014</v>
          </cell>
          <cell r="AD316" t="str">
            <v>VAE.AXW</v>
          </cell>
          <cell r="AE316">
            <v>4962</v>
          </cell>
          <cell r="AF316" t="str">
            <v>VAE.AXW</v>
          </cell>
          <cell r="AG316">
            <v>6512</v>
          </cell>
        </row>
        <row r="317">
          <cell r="A317" t="str">
            <v>VAF</v>
          </cell>
          <cell r="B317" t="str">
            <v>VAF.AXW</v>
          </cell>
          <cell r="C317" t="str">
            <v>VAF.AXW</v>
          </cell>
          <cell r="D317">
            <v>1430</v>
          </cell>
          <cell r="E317">
            <v>24557166.510000005</v>
          </cell>
          <cell r="F317">
            <v>4890</v>
          </cell>
          <cell r="G317">
            <v>504136</v>
          </cell>
          <cell r="J317" t="str">
            <v>VAF.AXW</v>
          </cell>
          <cell r="K317" t="str">
            <v>VAF</v>
          </cell>
          <cell r="L317">
            <v>2</v>
          </cell>
          <cell r="M317">
            <v>701526849.15999997</v>
          </cell>
          <cell r="N317">
            <v>14413948</v>
          </cell>
          <cell r="O317">
            <v>41213</v>
          </cell>
          <cell r="P317" t="str">
            <v>ETF Units</v>
          </cell>
          <cell r="Q317" t="str">
            <v>Exchange Traded Fund Units Fully Paid</v>
          </cell>
          <cell r="R317" t="str">
            <v>Vanguard Australian Fixed Interest Index ETF</v>
          </cell>
          <cell r="S317">
            <v>0</v>
          </cell>
          <cell r="T317">
            <v>142.10120000000001</v>
          </cell>
          <cell r="U317">
            <v>4939</v>
          </cell>
          <cell r="V317">
            <v>4807</v>
          </cell>
          <cell r="X317" t="str">
            <v>VAF.AXW</v>
          </cell>
          <cell r="Y317">
            <v>4877</v>
          </cell>
          <cell r="Z317" t="str">
            <v>VAF.AXW</v>
          </cell>
          <cell r="AA317">
            <v>4900</v>
          </cell>
          <cell r="AB317" t="str">
            <v>VAF.AXW</v>
          </cell>
          <cell r="AC317">
            <v>4977</v>
          </cell>
          <cell r="AD317" t="str">
            <v>VAF.AXW</v>
          </cell>
          <cell r="AE317">
            <v>4875</v>
          </cell>
          <cell r="AF317" t="str">
            <v>VAF.AXW</v>
          </cell>
          <cell r="AG317">
            <v>4890</v>
          </cell>
        </row>
        <row r="318">
          <cell r="A318" t="str">
            <v>VAP</v>
          </cell>
          <cell r="B318" t="str">
            <v>VAP.AXW</v>
          </cell>
          <cell r="C318" t="str">
            <v>VAP.AXW</v>
          </cell>
          <cell r="D318">
            <v>3023</v>
          </cell>
          <cell r="E318">
            <v>52868595.245000005</v>
          </cell>
          <cell r="F318">
            <v>8014</v>
          </cell>
          <cell r="G318">
            <v>669877.11400509381</v>
          </cell>
          <cell r="J318" t="str">
            <v>VAP.AXW</v>
          </cell>
          <cell r="K318" t="str">
            <v>VAP</v>
          </cell>
          <cell r="L318">
            <v>2</v>
          </cell>
          <cell r="M318">
            <v>1013964439.2</v>
          </cell>
          <cell r="N318">
            <v>12781805</v>
          </cell>
          <cell r="O318">
            <v>40466</v>
          </cell>
          <cell r="P318" t="str">
            <v>ETF Units</v>
          </cell>
          <cell r="Q318" t="str">
            <v>Exchange Traded Fund Units Fully Paid</v>
          </cell>
          <cell r="R318" t="str">
            <v>Vanguard Australian Property Securities Index ETF</v>
          </cell>
          <cell r="S318">
            <v>0</v>
          </cell>
          <cell r="T318">
            <v>228.34810000000002</v>
          </cell>
          <cell r="U318">
            <v>8231.74211114645</v>
          </cell>
          <cell r="V318">
            <v>6981.6982752084732</v>
          </cell>
          <cell r="X318" t="str">
            <v>VAP.AXW</v>
          </cell>
          <cell r="Y318">
            <v>7796.4505407214165</v>
          </cell>
          <cell r="Z318" t="str">
            <v>VAP.AXW</v>
          </cell>
          <cell r="AA318">
            <v>7314.7909551858902</v>
          </cell>
          <cell r="AB318" t="str">
            <v>VAP.AXW</v>
          </cell>
          <cell r="AC318">
            <v>6852.0570901036263</v>
          </cell>
          <cell r="AD318" t="str">
            <v>VAP.AXW</v>
          </cell>
          <cell r="AE318">
            <v>5678.6624220013618</v>
          </cell>
          <cell r="AF318" t="str">
            <v>VAP.AXW</v>
          </cell>
          <cell r="AG318">
            <v>8014</v>
          </cell>
        </row>
        <row r="319">
          <cell r="A319" t="str">
            <v>VAS</v>
          </cell>
          <cell r="B319" t="str">
            <v>VAS.AXW</v>
          </cell>
          <cell r="C319" t="str">
            <v>VAS.AXW</v>
          </cell>
          <cell r="D319">
            <v>5684</v>
          </cell>
          <cell r="E319">
            <v>166358637.595</v>
          </cell>
          <cell r="F319">
            <v>7976.0000000000009</v>
          </cell>
          <cell r="G319">
            <v>2116548</v>
          </cell>
          <cell r="J319" t="str">
            <v>VAS.AXW</v>
          </cell>
          <cell r="K319" t="str">
            <v>VAS</v>
          </cell>
          <cell r="L319">
            <v>2</v>
          </cell>
          <cell r="M319">
            <v>2768035749.8600001</v>
          </cell>
          <cell r="N319">
            <v>35531738</v>
          </cell>
          <cell r="O319">
            <v>39941</v>
          </cell>
          <cell r="P319" t="str">
            <v>ETF Units</v>
          </cell>
          <cell r="Q319" t="str">
            <v>Exchange Traded Fund Units Fully Paid</v>
          </cell>
          <cell r="R319" t="str">
            <v>Vanguard Australian Shares Index ETF</v>
          </cell>
          <cell r="S319">
            <v>0</v>
          </cell>
          <cell r="T319">
            <v>337.23500000000001</v>
          </cell>
          <cell r="U319">
            <v>8034</v>
          </cell>
          <cell r="V319">
            <v>7190</v>
          </cell>
          <cell r="X319" t="str">
            <v>VAS.AXW</v>
          </cell>
          <cell r="Y319">
            <v>7695</v>
          </cell>
          <cell r="Z319" t="str">
            <v>VAS.AXW</v>
          </cell>
          <cell r="AA319">
            <v>7322</v>
          </cell>
          <cell r="AB319" t="str">
            <v>VAS.AXW</v>
          </cell>
          <cell r="AC319">
            <v>6998.9999999999991</v>
          </cell>
          <cell r="AD319" t="str">
            <v>VAS.AXW</v>
          </cell>
          <cell r="AE319">
            <v>6170</v>
          </cell>
          <cell r="AF319" t="str">
            <v>VAS.AXW</v>
          </cell>
          <cell r="AG319">
            <v>7976.0000000000009</v>
          </cell>
        </row>
        <row r="320">
          <cell r="A320" t="str">
            <v>VBND</v>
          </cell>
          <cell r="B320" t="str">
            <v>VBND.AXW</v>
          </cell>
          <cell r="C320" t="str">
            <v>VBND.AXW</v>
          </cell>
          <cell r="D320">
            <v>89</v>
          </cell>
          <cell r="E320">
            <v>2734194.0200000005</v>
          </cell>
          <cell r="F320">
            <v>4992</v>
          </cell>
          <cell r="G320">
            <v>54747</v>
          </cell>
          <cell r="J320" t="str">
            <v>VBND.AXW</v>
          </cell>
          <cell r="K320" t="str">
            <v>VBND</v>
          </cell>
          <cell r="L320">
            <v>2</v>
          </cell>
          <cell r="M320">
            <v>15492848.710000001</v>
          </cell>
          <cell r="N320">
            <v>335043</v>
          </cell>
          <cell r="O320">
            <v>43020</v>
          </cell>
          <cell r="P320" t="str">
            <v>ETF Units</v>
          </cell>
          <cell r="Q320" t="str">
            <v>Exchange Traded Fund Units Fully Paid</v>
          </cell>
          <cell r="R320" t="str">
            <v>Vanguard Global Aggregate Bond Index (Hedged) ETF</v>
          </cell>
          <cell r="S320">
            <v>0</v>
          </cell>
          <cell r="T320">
            <v>46.706000000000003</v>
          </cell>
          <cell r="U320">
            <v>5068</v>
          </cell>
          <cell r="V320">
            <v>4951</v>
          </cell>
          <cell r="X320" t="str">
            <v>VBND.AXW</v>
          </cell>
          <cell r="Y320">
            <v>4985</v>
          </cell>
          <cell r="Z320" t="str">
            <v>VBND.AXW</v>
          </cell>
          <cell r="AA320">
            <v>5002</v>
          </cell>
          <cell r="AB320" t="str">
            <v>VBND.AXW</v>
          </cell>
          <cell r="AC320">
            <v>287</v>
          </cell>
          <cell r="AD320" t="str">
            <v>VBND.AXW</v>
          </cell>
          <cell r="AE320">
            <v>227</v>
          </cell>
          <cell r="AF320" t="str">
            <v>VBND.AXW</v>
          </cell>
          <cell r="AG320">
            <v>4992</v>
          </cell>
        </row>
        <row r="321">
          <cell r="A321" t="str">
            <v>VCF</v>
          </cell>
          <cell r="B321" t="str">
            <v>VCF.AXW</v>
          </cell>
          <cell r="C321" t="str">
            <v>VCF.AXW</v>
          </cell>
          <cell r="D321">
            <v>472</v>
          </cell>
          <cell r="E321">
            <v>4039124.0049999999</v>
          </cell>
          <cell r="F321">
            <v>4754</v>
          </cell>
          <cell r="G321">
            <v>85283</v>
          </cell>
          <cell r="J321" t="str">
            <v>VCF.AXW</v>
          </cell>
          <cell r="K321" t="str">
            <v>VCF</v>
          </cell>
          <cell r="L321">
            <v>2</v>
          </cell>
          <cell r="M321">
            <v>98199901.799999997</v>
          </cell>
          <cell r="N321">
            <v>2091390</v>
          </cell>
          <cell r="O321">
            <v>42346</v>
          </cell>
          <cell r="P321" t="str">
            <v>ETF Units</v>
          </cell>
          <cell r="Q321" t="str">
            <v>Exchange Traded Fund Units Fully Paid</v>
          </cell>
          <cell r="R321" t="str">
            <v>Vanguard International Credit Securities Index (Hedged) ETF</v>
          </cell>
          <cell r="S321">
            <v>0</v>
          </cell>
          <cell r="T321">
            <v>287.43039999999996</v>
          </cell>
          <cell r="U321">
            <v>5100</v>
          </cell>
          <cell r="V321">
            <v>4639</v>
          </cell>
          <cell r="X321" t="str">
            <v>VCF.AXW</v>
          </cell>
          <cell r="Y321">
            <v>4765</v>
          </cell>
          <cell r="Z321" t="str">
            <v>VCF.AXW</v>
          </cell>
          <cell r="AA321">
            <v>5035</v>
          </cell>
          <cell r="AB321" t="str">
            <v>VCF.AXW</v>
          </cell>
          <cell r="AC321">
            <v>6370</v>
          </cell>
          <cell r="AD321" t="str">
            <v>VCF.AXW</v>
          </cell>
          <cell r="AE321">
            <v>4529</v>
          </cell>
          <cell r="AF321" t="str">
            <v>VCF.AXW</v>
          </cell>
          <cell r="AG321">
            <v>4754</v>
          </cell>
        </row>
        <row r="322">
          <cell r="A322" t="str">
            <v>VEQ</v>
          </cell>
          <cell r="B322" t="str">
            <v>VEQ.AXW</v>
          </cell>
          <cell r="C322" t="str">
            <v>VEQ.AXW</v>
          </cell>
          <cell r="D322">
            <v>619</v>
          </cell>
          <cell r="E322">
            <v>13988345.750000002</v>
          </cell>
          <cell r="F322">
            <v>5514</v>
          </cell>
          <cell r="G322">
            <v>251413</v>
          </cell>
          <cell r="J322" t="str">
            <v>VEQ.AXW</v>
          </cell>
          <cell r="K322" t="str">
            <v>VEQ</v>
          </cell>
          <cell r="L322">
            <v>2</v>
          </cell>
          <cell r="M322">
            <v>188110292.5</v>
          </cell>
          <cell r="N322">
            <v>3511565</v>
          </cell>
          <cell r="O322">
            <v>42349</v>
          </cell>
          <cell r="P322" t="str">
            <v>ETF Units</v>
          </cell>
          <cell r="Q322" t="str">
            <v>Exchange Traded Fund Units Fully Paid</v>
          </cell>
          <cell r="R322" t="str">
            <v>Vanguard Ftse Europe Shares ETF</v>
          </cell>
          <cell r="S322">
            <v>0</v>
          </cell>
          <cell r="T322">
            <v>142.28480000000002</v>
          </cell>
          <cell r="U322">
            <v>5768</v>
          </cell>
          <cell r="V322">
            <v>5061</v>
          </cell>
          <cell r="X322" t="str">
            <v>VEQ.AXW</v>
          </cell>
          <cell r="Y322">
            <v>5474</v>
          </cell>
          <cell r="Z322" t="str">
            <v>VEQ.AXW</v>
          </cell>
          <cell r="AA322">
            <v>5215</v>
          </cell>
          <cell r="AB322" t="str">
            <v>VEQ.AXW</v>
          </cell>
          <cell r="AC322">
            <v>6441</v>
          </cell>
          <cell r="AD322" t="str">
            <v>VEQ.AXW</v>
          </cell>
          <cell r="AE322">
            <v>4630</v>
          </cell>
          <cell r="AF322" t="str">
            <v>VEQ.AXW</v>
          </cell>
          <cell r="AG322">
            <v>5514</v>
          </cell>
        </row>
        <row r="323">
          <cell r="A323" t="str">
            <v>VEU</v>
          </cell>
          <cell r="B323" t="str">
            <v>VEU.AXW</v>
          </cell>
          <cell r="C323" t="str">
            <v>VEU.AXW</v>
          </cell>
          <cell r="D323">
            <v>2702</v>
          </cell>
          <cell r="E323">
            <v>56916909.825000003</v>
          </cell>
          <cell r="F323">
            <v>7003</v>
          </cell>
          <cell r="G323">
            <v>799974</v>
          </cell>
          <cell r="J323" t="str">
            <v>VEU.AXW</v>
          </cell>
          <cell r="K323" t="str">
            <v>VEU</v>
          </cell>
          <cell r="L323">
            <v>2</v>
          </cell>
          <cell r="M323">
            <v>1208258320.6400001</v>
          </cell>
          <cell r="N323">
            <v>17753424</v>
          </cell>
          <cell r="O323">
            <v>39941</v>
          </cell>
          <cell r="P323" t="str">
            <v>Cdi 1:1</v>
          </cell>
          <cell r="Q323" t="str">
            <v>Chess Depositary Interests 1:1</v>
          </cell>
          <cell r="R323" t="str">
            <v>Vanguard All-World Ex-Us Shares Index ETF</v>
          </cell>
          <cell r="S323">
            <v>0</v>
          </cell>
          <cell r="T323">
            <v>174.61960000000002</v>
          </cell>
          <cell r="U323">
            <v>7386</v>
          </cell>
          <cell r="V323">
            <v>6445</v>
          </cell>
          <cell r="X323" t="str">
            <v>VEU.AXW</v>
          </cell>
          <cell r="Y323">
            <v>7081</v>
          </cell>
          <cell r="Z323" t="str">
            <v>VEU.AXW</v>
          </cell>
          <cell r="AA323">
            <v>6526.0000000000009</v>
          </cell>
          <cell r="AB323" t="str">
            <v>VEU.AXW</v>
          </cell>
          <cell r="AC323">
            <v>6345</v>
          </cell>
          <cell r="AD323" t="str">
            <v>VEU.AXW</v>
          </cell>
          <cell r="AE323">
            <v>4853</v>
          </cell>
          <cell r="AF323" t="str">
            <v>VEU.AXW</v>
          </cell>
          <cell r="AG323">
            <v>7003</v>
          </cell>
        </row>
        <row r="324">
          <cell r="A324" t="str">
            <v>VG1</v>
          </cell>
          <cell r="B324" t="str">
            <v>VG1.ASX</v>
          </cell>
          <cell r="C324" t="str">
            <v>VG1.ASX</v>
          </cell>
          <cell r="D324">
            <v>977</v>
          </cell>
          <cell r="E324">
            <v>8586512.5100000016</v>
          </cell>
          <cell r="F324">
            <v>227</v>
          </cell>
          <cell r="G324">
            <v>3869234</v>
          </cell>
          <cell r="J324" t="str">
            <v>VG1.ASX</v>
          </cell>
          <cell r="K324" t="str">
            <v>VG1</v>
          </cell>
          <cell r="L324">
            <v>2</v>
          </cell>
          <cell r="M324">
            <v>627597036.24000001</v>
          </cell>
          <cell r="N324">
            <v>275261858</v>
          </cell>
          <cell r="O324">
            <v>43006</v>
          </cell>
          <cell r="P324" t="str">
            <v>Fpo</v>
          </cell>
          <cell r="Q324" t="str">
            <v>Ordinary Fully Paid</v>
          </cell>
          <cell r="R324" t="str">
            <v>Vgi Partners Global Investments Limited</v>
          </cell>
          <cell r="S324">
            <v>213</v>
          </cell>
          <cell r="U324">
            <v>232</v>
          </cell>
          <cell r="V324">
            <v>199</v>
          </cell>
          <cell r="X324" t="str">
            <v>VG1.ASX</v>
          </cell>
          <cell r="Y324">
            <v>218.00000000000003</v>
          </cell>
          <cell r="Z324" t="str">
            <v>VG1.ASX</v>
          </cell>
          <cell r="AA324">
            <v>6086</v>
          </cell>
          <cell r="AB324" t="str">
            <v>VG1.ASX</v>
          </cell>
          <cell r="AC324">
            <v>5434</v>
          </cell>
          <cell r="AD324" t="str">
            <v>VG1.ASX</v>
          </cell>
          <cell r="AE324">
            <v>4965</v>
          </cell>
          <cell r="AF324" t="str">
            <v>VG1.ASX</v>
          </cell>
          <cell r="AG324">
            <v>227</v>
          </cell>
        </row>
        <row r="325">
          <cell r="A325" t="str">
            <v>VGAD</v>
          </cell>
          <cell r="B325" t="str">
            <v>VGAD.AXW</v>
          </cell>
          <cell r="C325" t="str">
            <v>VGAD.AXW</v>
          </cell>
          <cell r="D325">
            <v>1536</v>
          </cell>
          <cell r="E325">
            <v>27361250.194999993</v>
          </cell>
          <cell r="F325">
            <v>6573</v>
          </cell>
          <cell r="G325">
            <v>411870</v>
          </cell>
          <cell r="J325" t="str">
            <v>VGAD.AXW</v>
          </cell>
          <cell r="K325" t="str">
            <v>VGAD</v>
          </cell>
          <cell r="L325">
            <v>2</v>
          </cell>
          <cell r="M325">
            <v>398587763.19999999</v>
          </cell>
          <cell r="N325">
            <v>6281568</v>
          </cell>
          <cell r="O325">
            <v>41963</v>
          </cell>
          <cell r="P325" t="str">
            <v>ETF Units</v>
          </cell>
          <cell r="Q325" t="str">
            <v>Exchange Traded Fund Units Fully Paid</v>
          </cell>
          <cell r="R325" t="str">
            <v>VANGUARD MSCI INDEX INTERNATIONAL SHARES (HEDGED) ETF</v>
          </cell>
          <cell r="S325">
            <v>0</v>
          </cell>
          <cell r="T325">
            <v>131.99680000000001</v>
          </cell>
          <cell r="U325">
            <v>6857</v>
          </cell>
          <cell r="V325">
            <v>5926</v>
          </cell>
          <cell r="X325" t="str">
            <v>VGAD.AXW</v>
          </cell>
          <cell r="Y325">
            <v>6520</v>
          </cell>
          <cell r="Z325" t="str">
            <v>VGAD.AXW</v>
          </cell>
          <cell r="AA325">
            <v>6208</v>
          </cell>
          <cell r="AB325" t="str">
            <v>VGAD.AXW</v>
          </cell>
          <cell r="AC325">
            <v>5385</v>
          </cell>
          <cell r="AD325" t="str">
            <v>VGAD.AXW</v>
          </cell>
          <cell r="AE325">
            <v>4911</v>
          </cell>
          <cell r="AF325" t="str">
            <v>VGAD.AXW</v>
          </cell>
          <cell r="AG325">
            <v>6573</v>
          </cell>
        </row>
        <row r="326">
          <cell r="A326" t="str">
            <v>VGB</v>
          </cell>
          <cell r="B326" t="str">
            <v>VGB.AXW</v>
          </cell>
          <cell r="C326" t="str">
            <v>VGB.AXW</v>
          </cell>
          <cell r="D326">
            <v>380</v>
          </cell>
          <cell r="E326">
            <v>5370206.9950000001</v>
          </cell>
          <cell r="F326">
            <v>4920</v>
          </cell>
          <cell r="G326">
            <v>109729</v>
          </cell>
          <cell r="J326" t="str">
            <v>VGB.AXW</v>
          </cell>
          <cell r="K326" t="str">
            <v>VGB</v>
          </cell>
          <cell r="L326">
            <v>2</v>
          </cell>
          <cell r="M326">
            <v>136730238.47999999</v>
          </cell>
          <cell r="N326">
            <v>2788137</v>
          </cell>
          <cell r="O326">
            <v>41029</v>
          </cell>
          <cell r="P326" t="str">
            <v>ETF Units</v>
          </cell>
          <cell r="Q326" t="str">
            <v>Exchange Traded Fund Units Fully Paid</v>
          </cell>
          <cell r="R326" t="str">
            <v>Vanguard Australian Government Bond Index ETF</v>
          </cell>
          <cell r="S326">
            <v>0</v>
          </cell>
          <cell r="T326">
            <v>139.25659999999999</v>
          </cell>
          <cell r="U326">
            <v>4979</v>
          </cell>
          <cell r="V326">
            <v>4828</v>
          </cell>
          <cell r="X326" t="str">
            <v>VGB.AXW</v>
          </cell>
          <cell r="Y326">
            <v>4899</v>
          </cell>
          <cell r="Z326" t="str">
            <v>VGB.AXW</v>
          </cell>
          <cell r="AA326">
            <v>4939</v>
          </cell>
          <cell r="AB326" t="str">
            <v>VGB.AXW</v>
          </cell>
          <cell r="AC326">
            <v>4876</v>
          </cell>
          <cell r="AD326" t="str">
            <v>VGB.AXW</v>
          </cell>
          <cell r="AE326">
            <v>4837</v>
          </cell>
          <cell r="AF326" t="str">
            <v>VGB.AXW</v>
          </cell>
          <cell r="AG326">
            <v>4920</v>
          </cell>
        </row>
        <row r="327">
          <cell r="A327" t="str">
            <v>VGE</v>
          </cell>
          <cell r="B327" t="str">
            <v>VGE.AXW</v>
          </cell>
          <cell r="C327" t="str">
            <v>VGE.AXW</v>
          </cell>
          <cell r="D327">
            <v>1237</v>
          </cell>
          <cell r="E327">
            <v>21249035.600000005</v>
          </cell>
          <cell r="F327">
            <v>6374</v>
          </cell>
          <cell r="G327">
            <v>325067</v>
          </cell>
          <cell r="J327" t="str">
            <v>VGE.AXW</v>
          </cell>
          <cell r="K327" t="str">
            <v>VGE</v>
          </cell>
          <cell r="L327">
            <v>2</v>
          </cell>
          <cell r="M327">
            <v>200541203.03999999</v>
          </cell>
          <cell r="N327">
            <v>3197142</v>
          </cell>
          <cell r="O327">
            <v>41599</v>
          </cell>
          <cell r="P327" t="str">
            <v>ETF Units</v>
          </cell>
          <cell r="Q327" t="str">
            <v>Exchange Traded Fund Units Fully Paid</v>
          </cell>
          <cell r="R327" t="str">
            <v>Vanguard Ftse Emerging Markets Shares ETF</v>
          </cell>
          <cell r="S327">
            <v>0</v>
          </cell>
          <cell r="T327">
            <v>112.74119999999999</v>
          </cell>
          <cell r="U327">
            <v>7060</v>
          </cell>
          <cell r="V327">
            <v>5966</v>
          </cell>
          <cell r="X327" t="str">
            <v>VGE.AXW</v>
          </cell>
          <cell r="Y327">
            <v>6570</v>
          </cell>
          <cell r="Z327" t="str">
            <v>VGE.AXW</v>
          </cell>
          <cell r="AA327">
            <v>5972</v>
          </cell>
          <cell r="AB327" t="str">
            <v>VGE.AXW</v>
          </cell>
          <cell r="AC327">
            <v>6023</v>
          </cell>
          <cell r="AD327" t="str">
            <v>VGE.AXW</v>
          </cell>
          <cell r="AE327">
            <v>6098</v>
          </cell>
          <cell r="AF327" t="str">
            <v>VGE.AXW</v>
          </cell>
          <cell r="AG327">
            <v>6374</v>
          </cell>
        </row>
        <row r="328">
          <cell r="A328" t="str">
            <v>VGS</v>
          </cell>
          <cell r="B328" t="str">
            <v>VGS.AXW</v>
          </cell>
          <cell r="C328" t="str">
            <v>VGS.AXW</v>
          </cell>
          <cell r="D328">
            <v>2863</v>
          </cell>
          <cell r="E328">
            <v>73935460.390000015</v>
          </cell>
          <cell r="F328">
            <v>6950</v>
          </cell>
          <cell r="G328">
            <v>1063799</v>
          </cell>
          <cell r="J328" t="str">
            <v>VGS.AXW</v>
          </cell>
          <cell r="K328" t="str">
            <v>VGS</v>
          </cell>
          <cell r="L328">
            <v>2</v>
          </cell>
          <cell r="M328">
            <v>1057258366.92</v>
          </cell>
          <cell r="N328">
            <v>15791067</v>
          </cell>
          <cell r="O328">
            <v>41963</v>
          </cell>
          <cell r="P328" t="str">
            <v>ETF Units</v>
          </cell>
          <cell r="Q328" t="str">
            <v>Exchange Traded Fund Units Fully Paid</v>
          </cell>
          <cell r="R328" t="str">
            <v>Vanguard MSCI Index International Shares ETF</v>
          </cell>
          <cell r="S328">
            <v>0</v>
          </cell>
          <cell r="T328">
            <v>166.08659999999998</v>
          </cell>
          <cell r="U328">
            <v>7100</v>
          </cell>
          <cell r="V328">
            <v>5920</v>
          </cell>
          <cell r="X328" t="str">
            <v>VGS.AXW</v>
          </cell>
          <cell r="Y328">
            <v>6809</v>
          </cell>
          <cell r="Z328" t="str">
            <v>VGS.AXW</v>
          </cell>
          <cell r="AA328">
            <v>6187</v>
          </cell>
          <cell r="AB328" t="str">
            <v>VGS.AXW</v>
          </cell>
          <cell r="AC328">
            <v>5844</v>
          </cell>
          <cell r="AD328" t="str">
            <v>VGS.AXW</v>
          </cell>
          <cell r="AE328">
            <v>6371</v>
          </cell>
          <cell r="AF328" t="str">
            <v>VGS.AXW</v>
          </cell>
          <cell r="AG328">
            <v>6950</v>
          </cell>
        </row>
        <row r="329">
          <cell r="A329" t="str">
            <v>VHY</v>
          </cell>
          <cell r="B329" t="str">
            <v>VHY.AXW</v>
          </cell>
          <cell r="C329" t="str">
            <v>VHY.AXW</v>
          </cell>
          <cell r="D329">
            <v>1772</v>
          </cell>
          <cell r="E329">
            <v>50881903.620000005</v>
          </cell>
          <cell r="F329">
            <v>5940</v>
          </cell>
          <cell r="G329">
            <v>874797</v>
          </cell>
          <cell r="J329" t="str">
            <v>VHY.AXW</v>
          </cell>
          <cell r="K329" t="str">
            <v>VHY</v>
          </cell>
          <cell r="L329">
            <v>2</v>
          </cell>
          <cell r="M329">
            <v>1039054628.4299999</v>
          </cell>
          <cell r="N329">
            <v>18106059</v>
          </cell>
          <cell r="O329">
            <v>40689</v>
          </cell>
          <cell r="P329" t="str">
            <v>ETF Units</v>
          </cell>
          <cell r="Q329" t="str">
            <v>Exchange Traded Fund Units Fully Paid</v>
          </cell>
          <cell r="R329" t="str">
            <v>Vanguard Australian Shares High Yield ETF</v>
          </cell>
          <cell r="S329">
            <v>0</v>
          </cell>
          <cell r="T329">
            <v>473.24930000000001</v>
          </cell>
          <cell r="U329">
            <v>6324</v>
          </cell>
          <cell r="V329">
            <v>5591</v>
          </cell>
          <cell r="X329" t="str">
            <v>VHY.AXW</v>
          </cell>
          <cell r="Y329">
            <v>5722</v>
          </cell>
          <cell r="Z329" t="str">
            <v>VHY.AXW</v>
          </cell>
          <cell r="AA329">
            <v>6238</v>
          </cell>
          <cell r="AB329" t="str">
            <v>VHY.AXW</v>
          </cell>
          <cell r="AC329">
            <v>6504.0000000000009</v>
          </cell>
          <cell r="AD329" t="str">
            <v>VHY.AXW</v>
          </cell>
          <cell r="AE329">
            <v>5935</v>
          </cell>
          <cell r="AF329" t="str">
            <v>VHY.AXW</v>
          </cell>
          <cell r="AG329">
            <v>5940</v>
          </cell>
        </row>
        <row r="330">
          <cell r="A330" t="str">
            <v>VIF</v>
          </cell>
          <cell r="B330" t="str">
            <v>VIF.AXW</v>
          </cell>
          <cell r="C330" t="str">
            <v>VIF.AXW</v>
          </cell>
          <cell r="D330">
            <v>1049</v>
          </cell>
          <cell r="E330">
            <v>13764539.034999991</v>
          </cell>
          <cell r="F330">
            <v>4836</v>
          </cell>
          <cell r="G330">
            <v>286521</v>
          </cell>
          <cell r="J330" t="str">
            <v>VIF.AXW</v>
          </cell>
          <cell r="K330" t="str">
            <v>VIF</v>
          </cell>
          <cell r="L330">
            <v>2</v>
          </cell>
          <cell r="M330">
            <v>190023063.72999999</v>
          </cell>
          <cell r="N330">
            <v>4058121</v>
          </cell>
          <cell r="O330">
            <v>42346</v>
          </cell>
          <cell r="P330" t="str">
            <v>ETF Units</v>
          </cell>
          <cell r="Q330" t="str">
            <v>Exchange Traded Fund Units Fully Paid</v>
          </cell>
          <cell r="R330" t="str">
            <v>Vanguard International Fixed Interest Index (Hedged) ETF</v>
          </cell>
          <cell r="S330">
            <v>0</v>
          </cell>
          <cell r="T330">
            <v>190.26130000000001</v>
          </cell>
          <cell r="U330">
            <v>5000</v>
          </cell>
          <cell r="V330">
            <v>4705</v>
          </cell>
          <cell r="X330" t="str">
            <v>VIF.AXW</v>
          </cell>
          <cell r="Y330">
            <v>4802</v>
          </cell>
          <cell r="Z330" t="str">
            <v>VIF.AXW</v>
          </cell>
          <cell r="AA330">
            <v>4952</v>
          </cell>
          <cell r="AB330" t="str">
            <v>VIF.AXW</v>
          </cell>
          <cell r="AC330">
            <v>6456.9999999999991</v>
          </cell>
          <cell r="AD330" t="str">
            <v>VIF.AXW</v>
          </cell>
          <cell r="AE330">
            <v>5801</v>
          </cell>
          <cell r="AF330" t="str">
            <v>VIF.AXW</v>
          </cell>
          <cell r="AG330">
            <v>4836</v>
          </cell>
        </row>
        <row r="331">
          <cell r="A331" t="str">
            <v>VLC</v>
          </cell>
          <cell r="B331" t="str">
            <v>VLC.AXW</v>
          </cell>
          <cell r="C331" t="str">
            <v>VLC.AXW</v>
          </cell>
          <cell r="D331">
            <v>97</v>
          </cell>
          <cell r="E331">
            <v>1634898.5299999998</v>
          </cell>
          <cell r="F331">
            <v>6393</v>
          </cell>
          <cell r="G331">
            <v>26241</v>
          </cell>
          <cell r="J331" t="str">
            <v>VLC.AXW</v>
          </cell>
          <cell r="K331" t="str">
            <v>VLC</v>
          </cell>
          <cell r="L331">
            <v>2</v>
          </cell>
          <cell r="M331">
            <v>83190119.799999997</v>
          </cell>
          <cell r="N331">
            <v>1312147</v>
          </cell>
          <cell r="O331">
            <v>40689</v>
          </cell>
          <cell r="P331" t="str">
            <v>ETF Units</v>
          </cell>
          <cell r="Q331" t="str">
            <v>Exchange Traded Fund Units Fully Paid</v>
          </cell>
          <cell r="R331" t="str">
            <v>Vanguard MSCI Australian Large Companies Index ETF</v>
          </cell>
          <cell r="S331">
            <v>0</v>
          </cell>
          <cell r="T331">
            <v>266.93869999999998</v>
          </cell>
          <cell r="U331">
            <v>6396</v>
          </cell>
          <cell r="V331">
            <v>5837</v>
          </cell>
          <cell r="X331" t="str">
            <v>VLC.AXW</v>
          </cell>
          <cell r="Y331">
            <v>6112</v>
          </cell>
          <cell r="Z331" t="str">
            <v>VLC.AXW</v>
          </cell>
          <cell r="AA331">
            <v>6030</v>
          </cell>
          <cell r="AB331" t="str">
            <v>VLC.AXW</v>
          </cell>
          <cell r="AC331">
            <v>6122</v>
          </cell>
          <cell r="AD331" t="str">
            <v>VLC.AXW</v>
          </cell>
          <cell r="AE331">
            <v>5455</v>
          </cell>
          <cell r="AF331" t="str">
            <v>VLC.AXW</v>
          </cell>
          <cell r="AG331">
            <v>6393</v>
          </cell>
        </row>
        <row r="332">
          <cell r="A332" t="str">
            <v>VMIN</v>
          </cell>
          <cell r="B332" t="str">
            <v>VMIN.AXW</v>
          </cell>
          <cell r="C332" t="str">
            <v>VMIN.AXW</v>
          </cell>
          <cell r="D332">
            <v>18</v>
          </cell>
          <cell r="E332">
            <v>730663.55</v>
          </cell>
          <cell r="F332">
            <v>5193</v>
          </cell>
          <cell r="G332">
            <v>14134</v>
          </cell>
          <cell r="J332" t="str">
            <v>VMIN.AXW</v>
          </cell>
          <cell r="K332" t="str">
            <v>VMIN</v>
          </cell>
          <cell r="L332">
            <v>2</v>
          </cell>
          <cell r="M332">
            <v>2070000</v>
          </cell>
          <cell r="N332">
            <v>40000</v>
          </cell>
          <cell r="O332">
            <v>43207</v>
          </cell>
          <cell r="P332" t="str">
            <v>Tmf Units</v>
          </cell>
          <cell r="Q332" t="str">
            <v>Trading Managed Units Fully Paid</v>
          </cell>
          <cell r="R332" t="str">
            <v>Vanguard Global Min Volatility Act ETF</v>
          </cell>
          <cell r="S332">
            <v>0</v>
          </cell>
          <cell r="U332">
            <v>5214</v>
          </cell>
          <cell r="V332">
            <v>5090</v>
          </cell>
          <cell r="X332" t="str">
            <v>VMIN.AXW</v>
          </cell>
          <cell r="Y332">
            <v>5121</v>
          </cell>
          <cell r="Z332" t="str">
            <v>VMIN.AXW</v>
          </cell>
          <cell r="AA332">
            <v>16440</v>
          </cell>
          <cell r="AB332" t="str">
            <v>VMIN.AXW</v>
          </cell>
          <cell r="AC332">
            <v>13656</v>
          </cell>
          <cell r="AD332" t="str">
            <v>VMIN.AXW</v>
          </cell>
          <cell r="AE332">
            <v>7947</v>
          </cell>
          <cell r="AF332" t="str">
            <v>VMIN.AXW</v>
          </cell>
          <cell r="AG332">
            <v>5193</v>
          </cell>
        </row>
        <row r="333">
          <cell r="A333" t="str">
            <v>VSO</v>
          </cell>
          <cell r="B333" t="str">
            <v>VSO.AXW</v>
          </cell>
          <cell r="C333" t="str">
            <v>VSO.AXW</v>
          </cell>
          <cell r="D333">
            <v>720</v>
          </cell>
          <cell r="E333">
            <v>18009974.473200001</v>
          </cell>
          <cell r="F333">
            <v>5795</v>
          </cell>
          <cell r="G333">
            <v>311457</v>
          </cell>
          <cell r="J333" t="str">
            <v>VSO.AXW</v>
          </cell>
          <cell r="K333" t="str">
            <v>VSO</v>
          </cell>
          <cell r="L333">
            <v>2</v>
          </cell>
          <cell r="M333">
            <v>176714491</v>
          </cell>
          <cell r="N333">
            <v>3266716</v>
          </cell>
          <cell r="O333">
            <v>40689</v>
          </cell>
          <cell r="P333" t="str">
            <v>ETF Units</v>
          </cell>
          <cell r="Q333" t="str">
            <v>Exchange Traded Fund Units Fully Paid</v>
          </cell>
          <cell r="R333" t="str">
            <v>Vanguard MSCI Australian Small Companies Index ETF</v>
          </cell>
          <cell r="S333">
            <v>0</v>
          </cell>
          <cell r="T333">
            <v>112.7192</v>
          </cell>
          <cell r="U333">
            <v>5894</v>
          </cell>
          <cell r="V333">
            <v>4827</v>
          </cell>
          <cell r="X333" t="str">
            <v>VSO.AXW</v>
          </cell>
          <cell r="Y333">
            <v>5648</v>
          </cell>
          <cell r="Z333" t="str">
            <v>VSO.AXW</v>
          </cell>
          <cell r="AA333">
            <v>5065</v>
          </cell>
          <cell r="AB333" t="str">
            <v>VSO.AXW</v>
          </cell>
          <cell r="AC333">
            <v>4290</v>
          </cell>
          <cell r="AD333" t="str">
            <v>VSO.AXW</v>
          </cell>
          <cell r="AE333">
            <v>4045.0000000000005</v>
          </cell>
          <cell r="AF333" t="str">
            <v>VSO.AXW</v>
          </cell>
          <cell r="AG333">
            <v>5795</v>
          </cell>
        </row>
        <row r="334">
          <cell r="A334" t="str">
            <v>VTS</v>
          </cell>
          <cell r="B334" t="str">
            <v>VTS.AXW</v>
          </cell>
          <cell r="C334" t="str">
            <v>VTS.AXW</v>
          </cell>
          <cell r="D334">
            <v>2334</v>
          </cell>
          <cell r="E334">
            <v>52318153.31499999</v>
          </cell>
          <cell r="F334">
            <v>19056</v>
          </cell>
          <cell r="G334">
            <v>274534</v>
          </cell>
          <cell r="J334" t="str">
            <v>VTS.AXW</v>
          </cell>
          <cell r="K334" t="str">
            <v>VTS</v>
          </cell>
          <cell r="L334">
            <v>2</v>
          </cell>
          <cell r="M334">
            <v>1329549600.48</v>
          </cell>
          <cell r="N334">
            <v>7053603</v>
          </cell>
          <cell r="O334">
            <v>39941</v>
          </cell>
          <cell r="P334" t="str">
            <v>Cdi 1:1</v>
          </cell>
          <cell r="Q334" t="str">
            <v>Chess Depositary Interests 1:1</v>
          </cell>
          <cell r="R334" t="str">
            <v>Vanguard Us Total Market Shares Index ETF</v>
          </cell>
          <cell r="S334">
            <v>0</v>
          </cell>
          <cell r="T334">
            <v>261.85820000000001</v>
          </cell>
          <cell r="U334">
            <v>19649</v>
          </cell>
          <cell r="V334">
            <v>15575</v>
          </cell>
          <cell r="X334" t="str">
            <v>VTS.AXW</v>
          </cell>
          <cell r="Y334">
            <v>18582</v>
          </cell>
          <cell r="Z334" t="str">
            <v>VTS.AXW</v>
          </cell>
          <cell r="AA334">
            <v>16188.999999999998</v>
          </cell>
          <cell r="AB334" t="str">
            <v>VTS.AXW</v>
          </cell>
          <cell r="AC334">
            <v>13949</v>
          </cell>
          <cell r="AD334" t="str">
            <v>VTS.AXW</v>
          </cell>
          <cell r="AE334">
            <v>9039</v>
          </cell>
          <cell r="AF334" t="str">
            <v>VTS.AXW</v>
          </cell>
          <cell r="AG334">
            <v>19056</v>
          </cell>
        </row>
        <row r="335">
          <cell r="A335" t="str">
            <v>VVLU</v>
          </cell>
          <cell r="B335" t="str">
            <v>VVLU.AXW</v>
          </cell>
          <cell r="C335" t="str">
            <v>VVLU.AXW</v>
          </cell>
          <cell r="D335">
            <v>80</v>
          </cell>
          <cell r="E335">
            <v>3770336.4500000007</v>
          </cell>
          <cell r="F335">
            <v>5261</v>
          </cell>
          <cell r="G335">
            <v>71082</v>
          </cell>
          <cell r="J335" t="str">
            <v>VVLU.AXW</v>
          </cell>
          <cell r="K335" t="str">
            <v>VVLU</v>
          </cell>
          <cell r="L335">
            <v>2</v>
          </cell>
          <cell r="M335">
            <v>4512600</v>
          </cell>
          <cell r="N335">
            <v>120000</v>
          </cell>
          <cell r="O335">
            <v>43207</v>
          </cell>
          <cell r="P335" t="str">
            <v>Tmf Units</v>
          </cell>
          <cell r="Q335" t="str">
            <v>Trading Managed Units Fully Paid</v>
          </cell>
          <cell r="R335" t="str">
            <v>Vanguard Global Value Equity Active ETF</v>
          </cell>
          <cell r="S335">
            <v>0</v>
          </cell>
          <cell r="T335">
            <v>246.84780000000001</v>
          </cell>
          <cell r="U335">
            <v>5395</v>
          </cell>
          <cell r="V335">
            <v>4975</v>
          </cell>
          <cell r="X335" t="str">
            <v>VVLU.AXW</v>
          </cell>
          <cell r="Y335">
            <v>5200</v>
          </cell>
          <cell r="Z335" t="str">
            <v>VVLU.AXW</v>
          </cell>
          <cell r="AA335">
            <v>238</v>
          </cell>
          <cell r="AB335" t="str">
            <v>VVLU.AXW</v>
          </cell>
          <cell r="AC335">
            <v>194</v>
          </cell>
          <cell r="AD335" t="str">
            <v>VVLU.AXW</v>
          </cell>
          <cell r="AE335">
            <v>168</v>
          </cell>
          <cell r="AF335" t="str">
            <v>VVLU.AXW</v>
          </cell>
          <cell r="AG335">
            <v>5261</v>
          </cell>
        </row>
        <row r="336">
          <cell r="A336" t="str">
            <v>VVR</v>
          </cell>
          <cell r="B336" t="str">
            <v>VVR.ASX</v>
          </cell>
          <cell r="C336" t="str">
            <v>VVR.ASX</v>
          </cell>
          <cell r="D336">
            <v>28891</v>
          </cell>
          <cell r="E336">
            <v>114006597.7229</v>
          </cell>
          <cell r="F336">
            <v>225</v>
          </cell>
          <cell r="G336">
            <v>53463764</v>
          </cell>
          <cell r="J336" t="str">
            <v>VVR.ASX</v>
          </cell>
          <cell r="K336" t="str">
            <v>VVR</v>
          </cell>
          <cell r="L336">
            <v>2</v>
          </cell>
          <cell r="M336">
            <v>974109696</v>
          </cell>
          <cell r="N336">
            <v>725749702</v>
          </cell>
          <cell r="O336">
            <v>42585</v>
          </cell>
          <cell r="P336" t="str">
            <v>Stapled</v>
          </cell>
          <cell r="Q336" t="str">
            <v>Stapled Securities</v>
          </cell>
          <cell r="R336" t="str">
            <v>Viva Energy REIT</v>
          </cell>
          <cell r="S336">
            <v>219</v>
          </cell>
          <cell r="T336">
            <v>13.2</v>
          </cell>
          <cell r="U336">
            <v>231</v>
          </cell>
          <cell r="V336">
            <v>194</v>
          </cell>
          <cell r="X336" t="str">
            <v>VVR.ASX</v>
          </cell>
          <cell r="Y336">
            <v>204.99999999999997</v>
          </cell>
          <cell r="Z336" t="str">
            <v>VVR.ASX</v>
          </cell>
          <cell r="AA336">
            <v>227</v>
          </cell>
          <cell r="AB336" t="str">
            <v>VVR.ASX</v>
          </cell>
          <cell r="AC336">
            <v>121</v>
          </cell>
          <cell r="AD336" t="str">
            <v>VVR.ASX</v>
          </cell>
          <cell r="AE336">
            <v>102</v>
          </cell>
          <cell r="AF336" t="str">
            <v>VVR.ASX</v>
          </cell>
          <cell r="AG336">
            <v>225</v>
          </cell>
        </row>
        <row r="337">
          <cell r="A337" t="str">
            <v>WAA</v>
          </cell>
          <cell r="B337" t="str">
            <v>WAA.ASX</v>
          </cell>
          <cell r="C337" t="str">
            <v>WAA.ASX</v>
          </cell>
          <cell r="D337">
            <v>118</v>
          </cell>
          <cell r="E337">
            <v>707996.3</v>
          </cell>
          <cell r="F337">
            <v>110.5</v>
          </cell>
          <cell r="G337">
            <v>649123</v>
          </cell>
          <cell r="J337" t="str">
            <v>WAA.ASX</v>
          </cell>
          <cell r="K337" t="str">
            <v>WAA</v>
          </cell>
          <cell r="L337">
            <v>2</v>
          </cell>
          <cell r="M337">
            <v>45524942.549999997</v>
          </cell>
          <cell r="N337">
            <v>41575290</v>
          </cell>
          <cell r="O337">
            <v>39458</v>
          </cell>
          <cell r="P337" t="str">
            <v>Fpo</v>
          </cell>
          <cell r="Q337" t="str">
            <v>Ordinary Fully Paid</v>
          </cell>
          <cell r="R337" t="str">
            <v>WAM Active Limited</v>
          </cell>
          <cell r="S337">
            <v>107</v>
          </cell>
          <cell r="T337">
            <v>5.6</v>
          </cell>
          <cell r="U337">
            <v>117.5</v>
          </cell>
          <cell r="V337">
            <v>106.5</v>
          </cell>
          <cell r="X337" t="str">
            <v>WAA.ASX</v>
          </cell>
          <cell r="Y337">
            <v>108</v>
          </cell>
          <cell r="Z337" t="str">
            <v>WAA.ASX</v>
          </cell>
          <cell r="AA337">
            <v>110.00000000000001</v>
          </cell>
          <cell r="AB337" t="str">
            <v>WAA.ASX</v>
          </cell>
          <cell r="AC337">
            <v>95.082052320241928</v>
          </cell>
          <cell r="AD337" t="str">
            <v>WAA.ASX</v>
          </cell>
          <cell r="AE337">
            <v>103.1088118820135</v>
          </cell>
          <cell r="AF337" t="str">
            <v>WAA.ASX</v>
          </cell>
          <cell r="AG337">
            <v>110.5</v>
          </cell>
        </row>
        <row r="338">
          <cell r="A338" t="str">
            <v>WAM</v>
          </cell>
          <cell r="B338" t="str">
            <v>WAM.ASX</v>
          </cell>
          <cell r="C338" t="str">
            <v>WAM.ASX</v>
          </cell>
          <cell r="D338">
            <v>2768</v>
          </cell>
          <cell r="E338">
            <v>30195525.614999995</v>
          </cell>
          <cell r="F338">
            <v>238</v>
          </cell>
          <cell r="G338">
            <v>12699612</v>
          </cell>
          <cell r="J338" t="str">
            <v>WAM.ASX</v>
          </cell>
          <cell r="K338" t="str">
            <v>WAM</v>
          </cell>
          <cell r="L338">
            <v>2</v>
          </cell>
          <cell r="M338">
            <v>1590703954.28</v>
          </cell>
          <cell r="N338">
            <v>668363006</v>
          </cell>
          <cell r="O338">
            <v>36384</v>
          </cell>
          <cell r="P338" t="str">
            <v>Fpo</v>
          </cell>
          <cell r="Q338" t="str">
            <v>Ordinary Fully Paid</v>
          </cell>
          <cell r="R338" t="str">
            <v>WAM Capital Limited</v>
          </cell>
          <cell r="S338">
            <v>196</v>
          </cell>
          <cell r="T338">
            <v>15.25</v>
          </cell>
          <cell r="U338">
            <v>256</v>
          </cell>
          <cell r="V338">
            <v>220</v>
          </cell>
          <cell r="X338" t="str">
            <v>WAM.ASX</v>
          </cell>
          <cell r="Y338">
            <v>236</v>
          </cell>
          <cell r="Z338" t="str">
            <v>WAM.ASX</v>
          </cell>
          <cell r="AA338">
            <v>239</v>
          </cell>
          <cell r="AB338" t="str">
            <v>WAM.ASX</v>
          </cell>
          <cell r="AC338">
            <v>192</v>
          </cell>
          <cell r="AD338" t="str">
            <v>WAM.ASX</v>
          </cell>
          <cell r="AE338">
            <v>164</v>
          </cell>
          <cell r="AF338" t="str">
            <v>WAM.ASX</v>
          </cell>
          <cell r="AG338">
            <v>238</v>
          </cell>
        </row>
        <row r="339">
          <cell r="A339" t="str">
            <v>WAX</v>
          </cell>
          <cell r="B339" t="str">
            <v>WAX.ASX</v>
          </cell>
          <cell r="C339" t="str">
            <v>WAX.ASX</v>
          </cell>
          <cell r="D339">
            <v>665</v>
          </cell>
          <cell r="E339">
            <v>4262517.5124999993</v>
          </cell>
          <cell r="F339">
            <v>151</v>
          </cell>
          <cell r="G339">
            <v>2813339</v>
          </cell>
          <cell r="J339" t="str">
            <v>WAX.ASX</v>
          </cell>
          <cell r="K339" t="str">
            <v>WAX</v>
          </cell>
          <cell r="L339">
            <v>2</v>
          </cell>
          <cell r="M339">
            <v>290145758.98000002</v>
          </cell>
          <cell r="N339">
            <v>188406337</v>
          </cell>
          <cell r="O339">
            <v>37852</v>
          </cell>
          <cell r="P339" t="str">
            <v>Fpo</v>
          </cell>
          <cell r="Q339" t="str">
            <v>Ordinary Fully Paid</v>
          </cell>
          <cell r="R339" t="str">
            <v>WAM Research Limited</v>
          </cell>
          <cell r="S339">
            <v>123</v>
          </cell>
          <cell r="T339">
            <v>9.25</v>
          </cell>
          <cell r="U339">
            <v>163.5</v>
          </cell>
          <cell r="V339">
            <v>135.5</v>
          </cell>
          <cell r="X339" t="str">
            <v>WAX.ASX</v>
          </cell>
          <cell r="Y339">
            <v>149</v>
          </cell>
          <cell r="Z339" t="str">
            <v>WAX.ASX</v>
          </cell>
          <cell r="AA339">
            <v>150.5</v>
          </cell>
          <cell r="AB339" t="str">
            <v>WAX.ASX</v>
          </cell>
          <cell r="AC339">
            <v>115.99999999999999</v>
          </cell>
          <cell r="AD339" t="str">
            <v>WAX.ASX</v>
          </cell>
          <cell r="AE339">
            <v>97</v>
          </cell>
          <cell r="AF339" t="str">
            <v>WAX.ASX</v>
          </cell>
          <cell r="AG339">
            <v>151</v>
          </cell>
        </row>
        <row r="340">
          <cell r="A340" t="str">
            <v>WMI</v>
          </cell>
          <cell r="B340" t="str">
            <v>WMI.ASX</v>
          </cell>
          <cell r="C340" t="str">
            <v>WMI.ASX</v>
          </cell>
          <cell r="D340">
            <v>516</v>
          </cell>
          <cell r="E340">
            <v>3181626.7200000007</v>
          </cell>
          <cell r="F340">
            <v>142.5</v>
          </cell>
          <cell r="G340">
            <v>2247618</v>
          </cell>
          <cell r="J340" t="str">
            <v>WMI.ASX</v>
          </cell>
          <cell r="K340" t="str">
            <v>WMI</v>
          </cell>
          <cell r="L340">
            <v>2</v>
          </cell>
          <cell r="M340">
            <v>199014898.53999999</v>
          </cell>
          <cell r="N340">
            <v>140151337</v>
          </cell>
          <cell r="O340">
            <v>42914</v>
          </cell>
          <cell r="P340" t="str">
            <v>Fpo</v>
          </cell>
          <cell r="Q340" t="str">
            <v>Ordinary Fully Paid</v>
          </cell>
          <cell r="R340" t="str">
            <v>WAM Microcap Limited</v>
          </cell>
          <cell r="S340">
            <v>127</v>
          </cell>
          <cell r="T340">
            <v>2</v>
          </cell>
          <cell r="U340">
            <v>157</v>
          </cell>
          <cell r="V340">
            <v>113</v>
          </cell>
          <cell r="X340" t="str">
            <v>WMI.ASX</v>
          </cell>
          <cell r="Y340">
            <v>141</v>
          </cell>
          <cell r="Z340" t="str">
            <v>WMI.ASX</v>
          </cell>
          <cell r="AA340">
            <v>112.5</v>
          </cell>
          <cell r="AB340" t="str">
            <v>WMI.ASX</v>
          </cell>
          <cell r="AC340">
            <v>1938</v>
          </cell>
          <cell r="AD340" t="str">
            <v>WMI.ASX</v>
          </cell>
          <cell r="AF340" t="str">
            <v>WMI.ASX</v>
          </cell>
          <cell r="AG340">
            <v>142.5</v>
          </cell>
        </row>
        <row r="341">
          <cell r="A341" t="str">
            <v>WDE</v>
          </cell>
          <cell r="B341" t="str">
            <v>WDE.ASX</v>
          </cell>
          <cell r="C341" t="str">
            <v>WDE.ASX</v>
          </cell>
          <cell r="D341">
            <v>229</v>
          </cell>
          <cell r="E341">
            <v>2357241.56</v>
          </cell>
          <cell r="F341">
            <v>84.5</v>
          </cell>
          <cell r="G341">
            <v>2810244</v>
          </cell>
          <cell r="J341" t="str">
            <v>WDE.ASX</v>
          </cell>
          <cell r="K341" t="str">
            <v>WDE</v>
          </cell>
          <cell r="L341">
            <v>2</v>
          </cell>
          <cell r="M341">
            <v>108228093.075</v>
          </cell>
          <cell r="N341">
            <v>126582565</v>
          </cell>
          <cell r="O341">
            <v>42145</v>
          </cell>
          <cell r="P341" t="str">
            <v>Fpo</v>
          </cell>
          <cell r="Q341" t="str">
            <v>Ordinary Fully Paid</v>
          </cell>
          <cell r="R341" t="str">
            <v>Wealth Defender Equities Limited</v>
          </cell>
          <cell r="S341">
            <v>96</v>
          </cell>
          <cell r="T341">
            <v>3</v>
          </cell>
          <cell r="U341">
            <v>93.5</v>
          </cell>
          <cell r="V341">
            <v>79.5</v>
          </cell>
          <cell r="X341" t="str">
            <v>WDE.ASX</v>
          </cell>
          <cell r="Y341">
            <v>84</v>
          </cell>
          <cell r="Z341" t="str">
            <v>WDE.ASX</v>
          </cell>
          <cell r="AA341">
            <v>79.5</v>
          </cell>
          <cell r="AB341" t="str">
            <v>WDE.ASX</v>
          </cell>
          <cell r="AC341">
            <v>98</v>
          </cell>
          <cell r="AD341" t="str">
            <v>WDE.ASX</v>
          </cell>
          <cell r="AF341" t="str">
            <v>WDE.ASX</v>
          </cell>
          <cell r="AG341">
            <v>84.5</v>
          </cell>
        </row>
        <row r="342">
          <cell r="A342" t="str">
            <v>WDIV</v>
          </cell>
          <cell r="B342" t="str">
            <v>WDIV.AXW</v>
          </cell>
          <cell r="C342" t="str">
            <v>WDIV.AXW</v>
          </cell>
          <cell r="D342">
            <v>574</v>
          </cell>
          <cell r="E342">
            <v>8424120.9450000003</v>
          </cell>
          <cell r="F342">
            <v>1839</v>
          </cell>
          <cell r="G342">
            <v>438840</v>
          </cell>
          <cell r="J342" t="str">
            <v>WDIV.AXW</v>
          </cell>
          <cell r="K342" t="str">
            <v>WDIV</v>
          </cell>
          <cell r="L342">
            <v>2</v>
          </cell>
          <cell r="M342">
            <v>169676963.75</v>
          </cell>
          <cell r="N342">
            <v>9236625</v>
          </cell>
          <cell r="O342">
            <v>41582</v>
          </cell>
          <cell r="P342" t="str">
            <v>ETF Units</v>
          </cell>
          <cell r="Q342" t="str">
            <v>Exchange Traded Fund Units Fully Paid</v>
          </cell>
          <cell r="R342" t="str">
            <v>SPDR S&amp;P GLOBAL DIVIDEND FUND</v>
          </cell>
          <cell r="S342">
            <v>0</v>
          </cell>
          <cell r="T342">
            <v>147.78280000000001</v>
          </cell>
          <cell r="U342">
            <v>2000</v>
          </cell>
          <cell r="V342">
            <v>1773</v>
          </cell>
          <cell r="X342" t="str">
            <v>WDIV.AXW</v>
          </cell>
          <cell r="Y342">
            <v>1912</v>
          </cell>
          <cell r="Z342" t="str">
            <v>WDIV.AXW</v>
          </cell>
          <cell r="AA342">
            <v>1828</v>
          </cell>
          <cell r="AB342" t="str">
            <v>WDIV.AXW</v>
          </cell>
          <cell r="AC342">
            <v>1768</v>
          </cell>
          <cell r="AD342" t="str">
            <v>WDIV.AXW</v>
          </cell>
          <cell r="AF342" t="str">
            <v>WDIV.AXW</v>
          </cell>
          <cell r="AG342">
            <v>1839</v>
          </cell>
        </row>
        <row r="343">
          <cell r="A343" t="str">
            <v>WEMG</v>
          </cell>
          <cell r="B343" t="str">
            <v>WEMG.AXW</v>
          </cell>
          <cell r="C343" t="str">
            <v>WEMG.AXW</v>
          </cell>
          <cell r="D343">
            <v>145</v>
          </cell>
          <cell r="E343">
            <v>1819348.05</v>
          </cell>
          <cell r="F343">
            <v>2035.0000000000002</v>
          </cell>
          <cell r="G343">
            <v>86264</v>
          </cell>
          <cell r="J343" t="str">
            <v>WEMG.AXW</v>
          </cell>
          <cell r="K343" t="str">
            <v>WEMG</v>
          </cell>
          <cell r="L343">
            <v>2</v>
          </cell>
          <cell r="M343">
            <v>19522440</v>
          </cell>
          <cell r="N343">
            <v>960750</v>
          </cell>
          <cell r="O343">
            <v>41582</v>
          </cell>
          <cell r="P343" t="str">
            <v>ETF Units</v>
          </cell>
          <cell r="Q343" t="str">
            <v>Exchange Traded Fund Units Fully Paid</v>
          </cell>
          <cell r="R343" t="str">
            <v>SPDR S&amp;P EMERGING MARKETS FUND</v>
          </cell>
          <cell r="S343">
            <v>0</v>
          </cell>
          <cell r="T343">
            <v>50.947400000000002</v>
          </cell>
          <cell r="U343">
            <v>2291</v>
          </cell>
          <cell r="V343">
            <v>1884</v>
          </cell>
          <cell r="X343" t="str">
            <v>WEMG.AXW</v>
          </cell>
          <cell r="Y343">
            <v>2129</v>
          </cell>
          <cell r="Z343" t="str">
            <v>WEMG.AXW</v>
          </cell>
          <cell r="AA343">
            <v>1876.0000000000002</v>
          </cell>
          <cell r="AB343" t="str">
            <v>WEMG.AXW</v>
          </cell>
          <cell r="AC343">
            <v>1805.9999999999998</v>
          </cell>
          <cell r="AD343" t="str">
            <v>WEMG.AXW</v>
          </cell>
          <cell r="AE343">
            <v>374</v>
          </cell>
          <cell r="AF343" t="str">
            <v>WEMG.AXW</v>
          </cell>
          <cell r="AG343">
            <v>2035.0000000000002</v>
          </cell>
        </row>
        <row r="344">
          <cell r="A344" t="str">
            <v>WGF</v>
          </cell>
          <cell r="B344" t="str">
            <v>WGF.ASX</v>
          </cell>
          <cell r="C344" t="str">
            <v>WGF.ASX</v>
          </cell>
          <cell r="D344">
            <v>337</v>
          </cell>
          <cell r="E344">
            <v>2158149.8550000004</v>
          </cell>
          <cell r="F344">
            <v>91.5</v>
          </cell>
          <cell r="G344">
            <v>2348941</v>
          </cell>
          <cell r="J344" t="str">
            <v>WGF.ASX</v>
          </cell>
          <cell r="K344" t="str">
            <v>WGF</v>
          </cell>
          <cell r="L344">
            <v>2</v>
          </cell>
          <cell r="M344">
            <v>75565618.125</v>
          </cell>
          <cell r="N344">
            <v>82585375</v>
          </cell>
          <cell r="O344">
            <v>42725</v>
          </cell>
          <cell r="P344" t="str">
            <v>Fpo</v>
          </cell>
          <cell r="Q344" t="str">
            <v>Ordinary Fully Paid</v>
          </cell>
          <cell r="R344" t="str">
            <v>Watermark Global Leaders Fund Limited</v>
          </cell>
          <cell r="S344">
            <v>107</v>
          </cell>
          <cell r="U344">
            <v>103.5</v>
          </cell>
          <cell r="V344">
            <v>85</v>
          </cell>
          <cell r="X344" t="str">
            <v>WGF.ASX</v>
          </cell>
          <cell r="Y344">
            <v>92</v>
          </cell>
          <cell r="Z344" t="str">
            <v>WGF.ASX</v>
          </cell>
          <cell r="AA344">
            <v>101.49999999999999</v>
          </cell>
          <cell r="AB344" t="str">
            <v>WGF.ASX</v>
          </cell>
          <cell r="AC344">
            <v>100</v>
          </cell>
          <cell r="AD344" t="str">
            <v>WGF.ASX</v>
          </cell>
          <cell r="AE344">
            <v>119</v>
          </cell>
          <cell r="AF344" t="str">
            <v>WGF.ASX</v>
          </cell>
          <cell r="AG344">
            <v>91.5</v>
          </cell>
        </row>
        <row r="345">
          <cell r="A345" t="str">
            <v>WHF</v>
          </cell>
          <cell r="B345" t="str">
            <v>WHF.ASX</v>
          </cell>
          <cell r="C345" t="str">
            <v>WHF.ASX</v>
          </cell>
          <cell r="D345">
            <v>194</v>
          </cell>
          <cell r="E345">
            <v>2403497.36</v>
          </cell>
          <cell r="F345">
            <v>454</v>
          </cell>
          <cell r="G345">
            <v>531675</v>
          </cell>
          <cell r="J345" t="str">
            <v>WHF.ASX</v>
          </cell>
          <cell r="K345" t="str">
            <v>WHF</v>
          </cell>
          <cell r="L345">
            <v>2</v>
          </cell>
          <cell r="M345">
            <v>398099934.05000001</v>
          </cell>
          <cell r="N345">
            <v>87494491</v>
          </cell>
          <cell r="O345">
            <v>26147</v>
          </cell>
          <cell r="P345" t="str">
            <v>Fpo</v>
          </cell>
          <cell r="Q345" t="str">
            <v>Ordinary Fully Paid</v>
          </cell>
          <cell r="R345" t="str">
            <v>Whitefield Limited</v>
          </cell>
          <cell r="S345">
            <v>449</v>
          </cell>
          <cell r="T345">
            <v>17.75</v>
          </cell>
          <cell r="U345">
            <v>490</v>
          </cell>
          <cell r="V345">
            <v>443</v>
          </cell>
          <cell r="X345" t="str">
            <v>WHF.ASX</v>
          </cell>
          <cell r="Y345">
            <v>469.00000000000006</v>
          </cell>
          <cell r="Z345" t="str">
            <v>WHF.ASX</v>
          </cell>
          <cell r="AA345">
            <v>454</v>
          </cell>
          <cell r="AB345" t="str">
            <v>WHF.ASX</v>
          </cell>
          <cell r="AC345">
            <v>448.00000000000006</v>
          </cell>
          <cell r="AD345" t="str">
            <v>WHF.ASX</v>
          </cell>
          <cell r="AE345">
            <v>349</v>
          </cell>
          <cell r="AF345" t="str">
            <v>WHF.ASX</v>
          </cell>
          <cell r="AG345">
            <v>454</v>
          </cell>
        </row>
        <row r="346">
          <cell r="A346" t="str">
            <v>WIC</v>
          </cell>
          <cell r="B346" t="str">
            <v>WIC.ASX</v>
          </cell>
          <cell r="C346" t="str">
            <v>WIC.ASX</v>
          </cell>
          <cell r="D346">
            <v>219</v>
          </cell>
          <cell r="E346">
            <v>1274850.2875000001</v>
          </cell>
          <cell r="F346">
            <v>116.5</v>
          </cell>
          <cell r="G346">
            <v>1079907</v>
          </cell>
          <cell r="J346" t="str">
            <v>WIC.ASX</v>
          </cell>
          <cell r="K346" t="str">
            <v>WIC</v>
          </cell>
          <cell r="L346">
            <v>2</v>
          </cell>
          <cell r="M346">
            <v>151124510.46000001</v>
          </cell>
          <cell r="N346">
            <v>130843732</v>
          </cell>
          <cell r="O346">
            <v>40072</v>
          </cell>
          <cell r="P346" t="str">
            <v>Fpo</v>
          </cell>
          <cell r="Q346" t="str">
            <v>Ordinary Fully Paid</v>
          </cell>
          <cell r="R346" t="str">
            <v>Westoz Investment Company Limited</v>
          </cell>
          <cell r="S346">
            <v>129</v>
          </cell>
          <cell r="T346">
            <v>6</v>
          </cell>
          <cell r="U346">
            <v>121.5</v>
          </cell>
          <cell r="V346">
            <v>90.5</v>
          </cell>
          <cell r="X346" t="str">
            <v>WIC.ASX</v>
          </cell>
          <cell r="Y346">
            <v>114.5</v>
          </cell>
          <cell r="Z346" t="str">
            <v>WIC.ASX</v>
          </cell>
          <cell r="AA346">
            <v>96</v>
          </cell>
          <cell r="AB346" t="str">
            <v>WIC.ASX</v>
          </cell>
          <cell r="AC346">
            <v>92.5</v>
          </cell>
          <cell r="AD346" t="str">
            <v>WIC.ASX</v>
          </cell>
          <cell r="AE346">
            <v>106.5</v>
          </cell>
          <cell r="AF346" t="str">
            <v>WIC.ASX</v>
          </cell>
          <cell r="AG346">
            <v>116.5</v>
          </cell>
        </row>
        <row r="347">
          <cell r="A347" t="str">
            <v>WLE</v>
          </cell>
          <cell r="B347" t="str">
            <v>WLE.ASX</v>
          </cell>
          <cell r="C347" t="str">
            <v>WLE.ASX</v>
          </cell>
          <cell r="D347">
            <v>1829</v>
          </cell>
          <cell r="E347">
            <v>23653350.602500003</v>
          </cell>
          <cell r="F347">
            <v>114.99999999999999</v>
          </cell>
          <cell r="G347">
            <v>20708426</v>
          </cell>
          <cell r="J347" t="str">
            <v>WLE.ASX</v>
          </cell>
          <cell r="K347" t="str">
            <v>WLE</v>
          </cell>
          <cell r="L347">
            <v>2</v>
          </cell>
          <cell r="M347">
            <v>808684246.95000005</v>
          </cell>
          <cell r="N347">
            <v>703203693</v>
          </cell>
          <cell r="O347">
            <v>42520</v>
          </cell>
          <cell r="P347" t="str">
            <v>Fpo</v>
          </cell>
          <cell r="Q347" t="str">
            <v>Ordinary Fully Paid</v>
          </cell>
          <cell r="R347" t="str">
            <v>WAM Leaders Limited</v>
          </cell>
          <cell r="S347">
            <v>118</v>
          </cell>
          <cell r="T347">
            <v>4.5</v>
          </cell>
          <cell r="U347">
            <v>121</v>
          </cell>
          <cell r="V347">
            <v>109.5</v>
          </cell>
          <cell r="X347" t="str">
            <v>WLE.ASX</v>
          </cell>
          <cell r="Y347">
            <v>113.5</v>
          </cell>
          <cell r="Z347" t="str">
            <v>WLE.ASX</v>
          </cell>
          <cell r="AA347">
            <v>111.5</v>
          </cell>
          <cell r="AB347" t="str">
            <v>WLE.ASX</v>
          </cell>
          <cell r="AC347">
            <v>2009</v>
          </cell>
          <cell r="AD347" t="str">
            <v>WLE.ASX</v>
          </cell>
          <cell r="AF347" t="str">
            <v>WLE.ASX</v>
          </cell>
          <cell r="AG347">
            <v>114.99999999999999</v>
          </cell>
        </row>
        <row r="348">
          <cell r="A348" t="str">
            <v>WMK</v>
          </cell>
          <cell r="B348" t="str">
            <v>WMK.ASX</v>
          </cell>
          <cell r="C348" t="str">
            <v>WMK.ASX</v>
          </cell>
          <cell r="D348">
            <v>299</v>
          </cell>
          <cell r="E348">
            <v>2515274.98</v>
          </cell>
          <cell r="F348">
            <v>80</v>
          </cell>
          <cell r="G348">
            <v>3105145</v>
          </cell>
          <cell r="J348" t="str">
            <v>WMK.ASX</v>
          </cell>
          <cell r="K348" t="str">
            <v>WMK</v>
          </cell>
          <cell r="L348">
            <v>2</v>
          </cell>
          <cell r="M348">
            <v>70066005.599999994</v>
          </cell>
          <cell r="N348">
            <v>87582507</v>
          </cell>
          <cell r="O348">
            <v>41473</v>
          </cell>
          <cell r="P348" t="str">
            <v>Fpo</v>
          </cell>
          <cell r="Q348" t="str">
            <v>Ordinary Fully Paid</v>
          </cell>
          <cell r="R348" t="str">
            <v>Watermark Market Neutral Fund Limited</v>
          </cell>
          <cell r="S348">
            <v>96</v>
          </cell>
          <cell r="T348">
            <v>3.5</v>
          </cell>
          <cell r="U348">
            <v>102</v>
          </cell>
          <cell r="V348">
            <v>76</v>
          </cell>
          <cell r="X348" t="str">
            <v>WMK.ASX</v>
          </cell>
          <cell r="Y348">
            <v>83</v>
          </cell>
          <cell r="Z348" t="str">
            <v>WMK.ASX</v>
          </cell>
          <cell r="AA348">
            <v>101</v>
          </cell>
          <cell r="AB348" t="str">
            <v>WMK.ASX</v>
          </cell>
          <cell r="AC348">
            <v>81</v>
          </cell>
          <cell r="AD348" t="str">
            <v>WMK.ASX</v>
          </cell>
          <cell r="AE348">
            <v>1553</v>
          </cell>
          <cell r="AF348" t="str">
            <v>WMK.ASX</v>
          </cell>
          <cell r="AG348">
            <v>80</v>
          </cell>
        </row>
        <row r="349">
          <cell r="A349" t="str">
            <v>WRLD</v>
          </cell>
          <cell r="B349" t="str">
            <v>WRLD.AXW</v>
          </cell>
          <cell r="C349" t="str">
            <v>WRLD.AXW</v>
          </cell>
          <cell r="D349">
            <v>167</v>
          </cell>
          <cell r="E349">
            <v>3657038.0199999996</v>
          </cell>
          <cell r="F349">
            <v>1197</v>
          </cell>
          <cell r="G349">
            <v>303496</v>
          </cell>
          <cell r="J349" t="str">
            <v>WRLD.AXW</v>
          </cell>
          <cell r="K349" t="str">
            <v>WRLD</v>
          </cell>
          <cell r="L349">
            <v>2</v>
          </cell>
          <cell r="M349">
            <v>28750994.640000001</v>
          </cell>
          <cell r="N349">
            <v>2407956</v>
          </cell>
          <cell r="O349">
            <v>42359</v>
          </cell>
          <cell r="P349" t="str">
            <v>Tmf Units</v>
          </cell>
          <cell r="Q349" t="str">
            <v>Trading Managed Fund Units Fully Paid</v>
          </cell>
          <cell r="R349" t="str">
            <v>BETASHARES MANAGED RISK GLOBAL SHARE FUND (MANAGED FUND)</v>
          </cell>
          <cell r="S349">
            <v>0</v>
          </cell>
          <cell r="T349">
            <v>18.289899999999999</v>
          </cell>
          <cell r="U349">
            <v>1219</v>
          </cell>
          <cell r="V349">
            <v>1057</v>
          </cell>
          <cell r="X349" t="str">
            <v>WRLD.AXW</v>
          </cell>
          <cell r="Y349">
            <v>1182</v>
          </cell>
          <cell r="Z349" t="str">
            <v>WRLD.AXW</v>
          </cell>
          <cell r="AA349">
            <v>1089</v>
          </cell>
          <cell r="AB349" t="str">
            <v>WRLD.AXW</v>
          </cell>
          <cell r="AC349">
            <v>2487</v>
          </cell>
          <cell r="AD349" t="str">
            <v>WRLD.AXW</v>
          </cell>
          <cell r="AF349" t="str">
            <v>WRLD.AXW</v>
          </cell>
          <cell r="AG349">
            <v>1197</v>
          </cell>
        </row>
        <row r="350">
          <cell r="A350" t="str">
            <v>WXHG</v>
          </cell>
          <cell r="B350" t="str">
            <v>WXHG.AXW</v>
          </cell>
          <cell r="C350" t="str">
            <v>WXHG.AXW</v>
          </cell>
          <cell r="D350">
            <v>372</v>
          </cell>
          <cell r="E350">
            <v>2308572.31</v>
          </cell>
          <cell r="F350">
            <v>2211</v>
          </cell>
          <cell r="G350">
            <v>101428</v>
          </cell>
          <cell r="J350" t="str">
            <v>WXHG.AXW</v>
          </cell>
          <cell r="K350" t="str">
            <v>WXHG</v>
          </cell>
          <cell r="L350">
            <v>2</v>
          </cell>
          <cell r="M350">
            <v>80885542.780000001</v>
          </cell>
          <cell r="N350">
            <v>3729961</v>
          </cell>
          <cell r="O350">
            <v>41464</v>
          </cell>
          <cell r="P350" t="str">
            <v>ETF Units</v>
          </cell>
          <cell r="Q350" t="str">
            <v>Exchange Traded Fund Units Fully Paid</v>
          </cell>
          <cell r="R350" t="str">
            <v>SPDR S&amp;P World Ex Australia (Hedged) Fund</v>
          </cell>
          <cell r="S350">
            <v>0</v>
          </cell>
          <cell r="T350">
            <v>51.0869</v>
          </cell>
          <cell r="U350">
            <v>2368</v>
          </cell>
          <cell r="V350">
            <v>2031</v>
          </cell>
          <cell r="X350" t="str">
            <v>WXHG.AXW</v>
          </cell>
          <cell r="Y350">
            <v>2240</v>
          </cell>
          <cell r="Z350" t="str">
            <v>WXHG.AXW</v>
          </cell>
          <cell r="AA350">
            <v>2030</v>
          </cell>
          <cell r="AB350" t="str">
            <v>WXHG.AXW</v>
          </cell>
          <cell r="AC350">
            <v>1839.9999999999998</v>
          </cell>
          <cell r="AD350" t="str">
            <v>WXHG.AXW</v>
          </cell>
          <cell r="AE350">
            <v>1160</v>
          </cell>
          <cell r="AF350" t="str">
            <v>WXHG.AXW</v>
          </cell>
          <cell r="AG350">
            <v>2211</v>
          </cell>
        </row>
        <row r="351">
          <cell r="A351" t="str">
            <v>WXOZ</v>
          </cell>
          <cell r="B351" t="str">
            <v>WXOZ.AXW</v>
          </cell>
          <cell r="C351" t="str">
            <v>WXOZ.AXW</v>
          </cell>
          <cell r="D351">
            <v>119</v>
          </cell>
          <cell r="E351">
            <v>2741163.6700000004</v>
          </cell>
          <cell r="F351">
            <v>2923</v>
          </cell>
          <cell r="G351">
            <v>91746</v>
          </cell>
          <cell r="J351" t="str">
            <v>WXOZ.AXW</v>
          </cell>
          <cell r="K351" t="str">
            <v>WXOZ</v>
          </cell>
          <cell r="L351">
            <v>2</v>
          </cell>
          <cell r="M351">
            <v>169605864</v>
          </cell>
          <cell r="N351">
            <v>5867502</v>
          </cell>
          <cell r="O351">
            <v>41352</v>
          </cell>
          <cell r="P351" t="str">
            <v>ETF Units</v>
          </cell>
          <cell r="Q351" t="str">
            <v>Exchange Traded Fund Units Fully Paid</v>
          </cell>
          <cell r="R351" t="str">
            <v>SPDR S&amp;P World Ex Australia Fund</v>
          </cell>
          <cell r="S351">
            <v>0</v>
          </cell>
          <cell r="T351">
            <v>70.655299999999997</v>
          </cell>
          <cell r="U351">
            <v>3045</v>
          </cell>
          <cell r="V351">
            <v>2525</v>
          </cell>
          <cell r="X351" t="str">
            <v>WXOZ.AXW</v>
          </cell>
          <cell r="Y351">
            <v>2929</v>
          </cell>
          <cell r="Z351" t="str">
            <v>WXOZ.AXW</v>
          </cell>
          <cell r="AA351">
            <v>2587</v>
          </cell>
          <cell r="AB351" t="str">
            <v>WXOZ.AXW</v>
          </cell>
          <cell r="AC351">
            <v>2390</v>
          </cell>
          <cell r="AD351" t="str">
            <v>WXOZ.AXW</v>
          </cell>
          <cell r="AE351">
            <v>1711</v>
          </cell>
          <cell r="AF351" t="str">
            <v>WXOZ.AXW</v>
          </cell>
          <cell r="AG351">
            <v>2923</v>
          </cell>
        </row>
        <row r="352">
          <cell r="A352" t="str">
            <v>YANK</v>
          </cell>
          <cell r="B352" t="str">
            <v>YANK.AXW</v>
          </cell>
          <cell r="C352" t="str">
            <v>YANK.AXW</v>
          </cell>
          <cell r="D352">
            <v>148</v>
          </cell>
          <cell r="E352">
            <v>7234207.6900000004</v>
          </cell>
          <cell r="F352">
            <v>1478</v>
          </cell>
          <cell r="G352">
            <v>497207</v>
          </cell>
          <cell r="J352" t="str">
            <v>YANK.AXW</v>
          </cell>
          <cell r="K352" t="str">
            <v>YANK</v>
          </cell>
          <cell r="L352">
            <v>2</v>
          </cell>
          <cell r="M352">
            <v>13050000</v>
          </cell>
          <cell r="N352">
            <v>800000</v>
          </cell>
          <cell r="O352">
            <v>42759</v>
          </cell>
          <cell r="P352" t="str">
            <v>Tmf Units</v>
          </cell>
          <cell r="Q352" t="str">
            <v>Trading Managed Fund Units Fully Paid</v>
          </cell>
          <cell r="R352" t="str">
            <v>Betashares Strong U.S. Dollar Fund (Hedge Fund)</v>
          </cell>
          <cell r="S352">
            <v>0</v>
          </cell>
          <cell r="T352">
            <v>43.688800000000001</v>
          </cell>
          <cell r="U352">
            <v>1495</v>
          </cell>
          <cell r="V352">
            <v>1199</v>
          </cell>
          <cell r="X352" t="str">
            <v>YANK.AXW</v>
          </cell>
          <cell r="Y352">
            <v>1430</v>
          </cell>
          <cell r="Z352" t="str">
            <v>YANK.AXW</v>
          </cell>
          <cell r="AA352">
            <v>1385</v>
          </cell>
          <cell r="AB352" t="str">
            <v>YANK.AXW</v>
          </cell>
          <cell r="AC352">
            <v>89</v>
          </cell>
          <cell r="AD352" t="str">
            <v>YANK.AXW</v>
          </cell>
          <cell r="AF352" t="str">
            <v>YANK.AXW</v>
          </cell>
          <cell r="AG352">
            <v>1478</v>
          </cell>
        </row>
        <row r="353">
          <cell r="A353" t="str">
            <v>YMAX</v>
          </cell>
          <cell r="B353" t="str">
            <v>YMAX.AXW</v>
          </cell>
          <cell r="C353" t="str">
            <v>YMAX.AXW</v>
          </cell>
          <cell r="D353">
            <v>669</v>
          </cell>
          <cell r="E353">
            <v>29578124.109999999</v>
          </cell>
          <cell r="F353">
            <v>899</v>
          </cell>
          <cell r="G353">
            <v>3347219</v>
          </cell>
          <cell r="J353" t="str">
            <v>YMAX.AXW</v>
          </cell>
          <cell r="K353" t="str">
            <v>YMAX</v>
          </cell>
          <cell r="L353">
            <v>2</v>
          </cell>
          <cell r="M353">
            <v>376051579.77999997</v>
          </cell>
          <cell r="N353">
            <v>41595894</v>
          </cell>
          <cell r="O353">
            <v>41239</v>
          </cell>
          <cell r="P353" t="str">
            <v>Tmf Units</v>
          </cell>
          <cell r="Q353" t="str">
            <v>Trading Managed Fund Units Fully Paid</v>
          </cell>
          <cell r="R353" t="str">
            <v>Betashares Aus Top20 Equity Yield Max Fund (M Fund)</v>
          </cell>
          <cell r="S353">
            <v>0</v>
          </cell>
          <cell r="T353">
            <v>76.769199999999998</v>
          </cell>
          <cell r="U353">
            <v>916</v>
          </cell>
          <cell r="V353">
            <v>845</v>
          </cell>
          <cell r="X353" t="str">
            <v>YMAX.AXW</v>
          </cell>
          <cell r="Y353">
            <v>869.99999999999989</v>
          </cell>
          <cell r="Z353" t="str">
            <v>YMAX.AXW</v>
          </cell>
          <cell r="AA353">
            <v>910</v>
          </cell>
          <cell r="AB353" t="str">
            <v>YMAX.AXW</v>
          </cell>
          <cell r="AC353">
            <v>1045</v>
          </cell>
          <cell r="AD353" t="str">
            <v>YMAX.AXW</v>
          </cell>
          <cell r="AE353">
            <v>1095</v>
          </cell>
          <cell r="AF353" t="str">
            <v>YMAX.AXW</v>
          </cell>
          <cell r="AG353">
            <v>899</v>
          </cell>
        </row>
        <row r="354">
          <cell r="A354" t="str">
            <v>YTMAGL</v>
          </cell>
          <cell r="B354" t="str">
            <v>YTMAGL.AXW</v>
          </cell>
          <cell r="C354" t="str">
            <v>YTMAGL.AXW</v>
          </cell>
          <cell r="D354">
            <v>19</v>
          </cell>
          <cell r="E354">
            <v>962024.37</v>
          </cell>
          <cell r="F354">
            <v>10700</v>
          </cell>
          <cell r="G354">
            <v>9021</v>
          </cell>
          <cell r="J354" t="str">
            <v>YTMAGL.AXW</v>
          </cell>
          <cell r="K354" t="str">
            <v>YTMAGL</v>
          </cell>
          <cell r="L354">
            <v>2</v>
          </cell>
          <cell r="M354">
            <v>12534976</v>
          </cell>
          <cell r="N354">
            <v>116800</v>
          </cell>
          <cell r="O354">
            <v>42514</v>
          </cell>
          <cell r="P354" t="str">
            <v>Xtb Agl21</v>
          </cell>
          <cell r="Q354" t="str">
            <v>Xtb Theta Agl 5.00% Nov-21</v>
          </cell>
          <cell r="R354" t="str">
            <v>Exch Traded Bond Units</v>
          </cell>
          <cell r="S354">
            <v>0</v>
          </cell>
          <cell r="T354">
            <v>500</v>
          </cell>
          <cell r="U354">
            <v>11091</v>
          </cell>
          <cell r="V354">
            <v>10586</v>
          </cell>
          <cell r="X354" t="str">
            <v>YTMAGL.AXW</v>
          </cell>
          <cell r="Y354">
            <v>10647</v>
          </cell>
          <cell r="Z354" t="str">
            <v>YTMAGL.AXW</v>
          </cell>
          <cell r="AA354">
            <v>10963</v>
          </cell>
          <cell r="AB354" t="str">
            <v>YTMAGL.AXW</v>
          </cell>
          <cell r="AD354" t="str">
            <v>YTMAGL.AXW</v>
          </cell>
          <cell r="AF354" t="str">
            <v>YTMAGL.AXW</v>
          </cell>
          <cell r="AG354">
            <v>10700</v>
          </cell>
        </row>
        <row r="355">
          <cell r="A355" t="str">
            <v>YTMAPA</v>
          </cell>
          <cell r="B355" t="str">
            <v>YTMAPA.AXW</v>
          </cell>
          <cell r="C355" t="str">
            <v>YTMAPA.AXW</v>
          </cell>
          <cell r="D355">
            <v>6</v>
          </cell>
          <cell r="E355">
            <v>205152.38</v>
          </cell>
          <cell r="F355">
            <v>11339</v>
          </cell>
          <cell r="G355">
            <v>1810</v>
          </cell>
          <cell r="J355" t="str">
            <v>YTMAPA.AXW</v>
          </cell>
          <cell r="K355" t="str">
            <v>YTMAPA</v>
          </cell>
          <cell r="L355">
            <v>2</v>
          </cell>
          <cell r="M355">
            <v>4977821</v>
          </cell>
          <cell r="N355">
            <v>43900</v>
          </cell>
          <cell r="O355">
            <v>42312</v>
          </cell>
          <cell r="P355" t="str">
            <v>Xtb Apa20</v>
          </cell>
          <cell r="Q355" t="str">
            <v>Xtb Theta Apa 7.75% Jul-20</v>
          </cell>
          <cell r="R355" t="str">
            <v>Exch Traded Bond Units</v>
          </cell>
          <cell r="S355">
            <v>0</v>
          </cell>
          <cell r="T355">
            <v>775</v>
          </cell>
          <cell r="U355">
            <v>11689</v>
          </cell>
          <cell r="V355">
            <v>11251</v>
          </cell>
          <cell r="X355" t="str">
            <v>YTMAPA.AXW</v>
          </cell>
          <cell r="Y355">
            <v>11309</v>
          </cell>
          <cell r="Z355" t="str">
            <v>YTMAPA.AXW</v>
          </cell>
          <cell r="AA355">
            <v>11880</v>
          </cell>
          <cell r="AB355" t="str">
            <v>YTMAPA.AXW</v>
          </cell>
          <cell r="AC355">
            <v>1872</v>
          </cell>
          <cell r="AD355" t="str">
            <v>YTMAPA.AXW</v>
          </cell>
          <cell r="AF355" t="str">
            <v>YTMAPA.AXW</v>
          </cell>
          <cell r="AG355">
            <v>11339</v>
          </cell>
        </row>
        <row r="356">
          <cell r="A356" t="str">
            <v>YTMAST</v>
          </cell>
          <cell r="B356" t="str">
            <v>YTMAST.AXW</v>
          </cell>
          <cell r="C356" t="str">
            <v>YTMAST.AXW</v>
          </cell>
          <cell r="D356">
            <v>20</v>
          </cell>
          <cell r="E356">
            <v>1002556.14</v>
          </cell>
          <cell r="F356">
            <v>11161</v>
          </cell>
          <cell r="G356">
            <v>8933</v>
          </cell>
          <cell r="J356" t="str">
            <v>YTMAST.AXW</v>
          </cell>
          <cell r="K356" t="str">
            <v>YTMAST</v>
          </cell>
          <cell r="L356">
            <v>2</v>
          </cell>
          <cell r="M356">
            <v>5295528</v>
          </cell>
          <cell r="N356">
            <v>47400</v>
          </cell>
          <cell r="O356">
            <v>42514</v>
          </cell>
          <cell r="P356" t="str">
            <v>Xtb Ast22</v>
          </cell>
          <cell r="Q356" t="str">
            <v>Xtb Theta Ast 5.75% Jun-22</v>
          </cell>
          <cell r="R356" t="str">
            <v>Exch Traded Bond Units</v>
          </cell>
          <cell r="S356">
            <v>0</v>
          </cell>
          <cell r="T356">
            <v>575</v>
          </cell>
          <cell r="U356">
            <v>11630</v>
          </cell>
          <cell r="V356">
            <v>11075</v>
          </cell>
          <cell r="X356" t="str">
            <v>YTMAST.AXW</v>
          </cell>
          <cell r="Y356">
            <v>11407</v>
          </cell>
          <cell r="Z356" t="str">
            <v>YTMAST.AXW</v>
          </cell>
          <cell r="AA356">
            <v>11344</v>
          </cell>
          <cell r="AB356" t="str">
            <v>YTMAST.AXW</v>
          </cell>
          <cell r="AC356">
            <v>2294</v>
          </cell>
          <cell r="AD356" t="str">
            <v>YTMAST.AXW</v>
          </cell>
          <cell r="AF356" t="str">
            <v>YTMAST.AXW</v>
          </cell>
          <cell r="AG356">
            <v>11161</v>
          </cell>
        </row>
        <row r="357">
          <cell r="A357" t="str">
            <v>YTMAWC</v>
          </cell>
          <cell r="B357" t="str">
            <v>YTMAWC.AXW</v>
          </cell>
          <cell r="C357" t="str">
            <v>YTMAWC.AXW</v>
          </cell>
          <cell r="D357">
            <v>26</v>
          </cell>
          <cell r="E357">
            <v>675860.23</v>
          </cell>
          <cell r="F357">
            <v>10315</v>
          </cell>
          <cell r="G357">
            <v>6561</v>
          </cell>
          <cell r="J357" t="str">
            <v>YTMAWC.AXW</v>
          </cell>
          <cell r="K357" t="str">
            <v>YTMAWC</v>
          </cell>
          <cell r="L357">
            <v>2</v>
          </cell>
          <cell r="M357">
            <v>17881094</v>
          </cell>
          <cell r="N357">
            <v>173300</v>
          </cell>
          <cell r="O357">
            <v>42514</v>
          </cell>
          <cell r="P357" t="str">
            <v>Xtb Awc19</v>
          </cell>
          <cell r="Q357" t="str">
            <v>Xtb Theta Awc 5.5% Nov-19</v>
          </cell>
          <cell r="R357" t="str">
            <v>Exch Traded Bond Units</v>
          </cell>
          <cell r="S357">
            <v>0</v>
          </cell>
          <cell r="T357">
            <v>612.5</v>
          </cell>
          <cell r="U357">
            <v>11015</v>
          </cell>
          <cell r="V357">
            <v>10234</v>
          </cell>
          <cell r="X357" t="str">
            <v>YTMAWC.AXW</v>
          </cell>
          <cell r="Y357">
            <v>10261</v>
          </cell>
          <cell r="Z357" t="str">
            <v>YTMAWC.AXW</v>
          </cell>
          <cell r="AA357">
            <v>10684</v>
          </cell>
          <cell r="AB357" t="str">
            <v>YTMAWC.AXW</v>
          </cell>
          <cell r="AD357" t="str">
            <v>YTMAWC.AXW</v>
          </cell>
          <cell r="AF357" t="str">
            <v>YTMAWC.AXW</v>
          </cell>
          <cell r="AG357">
            <v>10315</v>
          </cell>
        </row>
        <row r="358">
          <cell r="A358" t="str">
            <v>YTMAZJ</v>
          </cell>
          <cell r="B358" t="str">
            <v>YTMAZJ.AXW</v>
          </cell>
          <cell r="C358" t="str">
            <v>YTMAZJ.AXW</v>
          </cell>
          <cell r="D358">
            <v>26</v>
          </cell>
          <cell r="E358">
            <v>503927.3000000001</v>
          </cell>
          <cell r="F358">
            <v>10831</v>
          </cell>
          <cell r="G358">
            <v>4658</v>
          </cell>
          <cell r="J358" t="str">
            <v>YTMAZJ.AXW</v>
          </cell>
          <cell r="K358" t="str">
            <v>YTMAZJ</v>
          </cell>
          <cell r="L358">
            <v>2</v>
          </cell>
          <cell r="M358">
            <v>24175116</v>
          </cell>
          <cell r="N358">
            <v>223100</v>
          </cell>
          <cell r="O358">
            <v>42138</v>
          </cell>
          <cell r="P358" t="str">
            <v>Xtb Azj20</v>
          </cell>
          <cell r="Q358" t="str">
            <v>Xtb Theta Azj 5.75% Oct-20</v>
          </cell>
          <cell r="R358" t="str">
            <v>Exch Traded Bond Units</v>
          </cell>
          <cell r="S358">
            <v>0</v>
          </cell>
          <cell r="T358">
            <v>575</v>
          </cell>
          <cell r="U358">
            <v>11220</v>
          </cell>
          <cell r="V358">
            <v>10760</v>
          </cell>
          <cell r="X358" t="str">
            <v>YTMAZJ.AXW</v>
          </cell>
          <cell r="Y358">
            <v>10876</v>
          </cell>
          <cell r="Z358" t="str">
            <v>YTMAZJ.AXW</v>
          </cell>
          <cell r="AA358">
            <v>11088</v>
          </cell>
          <cell r="AB358" t="str">
            <v>YTMAZJ.AXW</v>
          </cell>
          <cell r="AC358">
            <v>11130</v>
          </cell>
          <cell r="AD358" t="str">
            <v>YTMAZJ.AXW</v>
          </cell>
          <cell r="AF358" t="str">
            <v>YTMAZJ.AXW</v>
          </cell>
          <cell r="AG358">
            <v>10831</v>
          </cell>
        </row>
        <row r="359">
          <cell r="A359" t="str">
            <v>YTMBH1</v>
          </cell>
          <cell r="B359" t="str">
            <v>YTMBH1.AXW</v>
          </cell>
          <cell r="C359" t="str">
            <v>YTMBH1.AXW</v>
          </cell>
          <cell r="D359">
            <v>6</v>
          </cell>
          <cell r="E359">
            <v>37737.600000000006</v>
          </cell>
          <cell r="F359">
            <v>10210</v>
          </cell>
          <cell r="G359">
            <v>370</v>
          </cell>
          <cell r="J359" t="str">
            <v>YTMBH1.AXW</v>
          </cell>
          <cell r="K359" t="str">
            <v>YTMBH1</v>
          </cell>
          <cell r="L359">
            <v>2</v>
          </cell>
          <cell r="M359">
            <v>1531500</v>
          </cell>
          <cell r="N359">
            <v>15000</v>
          </cell>
          <cell r="O359">
            <v>42514</v>
          </cell>
          <cell r="P359" t="str">
            <v>Xtb Bh120</v>
          </cell>
          <cell r="Q359" t="str">
            <v>Xtb Theta Bh1 3.00% Mar-20</v>
          </cell>
          <cell r="R359" t="str">
            <v>Exch Traded Bond Units</v>
          </cell>
          <cell r="S359">
            <v>0</v>
          </cell>
          <cell r="T359">
            <v>300</v>
          </cell>
          <cell r="U359">
            <v>10332</v>
          </cell>
          <cell r="V359">
            <v>10139</v>
          </cell>
          <cell r="X359" t="str">
            <v>YTMBH1.AXW</v>
          </cell>
          <cell r="Y359">
            <v>10194</v>
          </cell>
          <cell r="Z359" t="str">
            <v>YTMBH1.AXW</v>
          </cell>
          <cell r="AA359">
            <v>10323</v>
          </cell>
          <cell r="AB359" t="str">
            <v>YTMBH1.AXW</v>
          </cell>
          <cell r="AD359" t="str">
            <v>YTMBH1.AXW</v>
          </cell>
          <cell r="AF359" t="str">
            <v>YTMBH1.AXW</v>
          </cell>
          <cell r="AG359">
            <v>10210</v>
          </cell>
        </row>
        <row r="360">
          <cell r="A360" t="str">
            <v>YTMBOQ</v>
          </cell>
          <cell r="B360" t="str">
            <v>YTMBOQ.AXW</v>
          </cell>
          <cell r="C360" t="str">
            <v>YTMBOQ.AXW</v>
          </cell>
          <cell r="D360">
            <v>0</v>
          </cell>
          <cell r="E360">
            <v>0</v>
          </cell>
          <cell r="F360">
            <v>10169</v>
          </cell>
          <cell r="G360">
            <v>0</v>
          </cell>
          <cell r="J360" t="str">
            <v>YTMBOQ.AXW</v>
          </cell>
          <cell r="K360" t="str">
            <v>YTMBOQ</v>
          </cell>
          <cell r="L360">
            <v>2</v>
          </cell>
          <cell r="M360">
            <v>508450</v>
          </cell>
          <cell r="N360">
            <v>5000</v>
          </cell>
          <cell r="O360">
            <v>42332</v>
          </cell>
          <cell r="P360" t="str">
            <v>Xtb Boq18</v>
          </cell>
          <cell r="Q360" t="str">
            <v>Xtb Theta Boq 4.00% Jun-18</v>
          </cell>
          <cell r="R360" t="str">
            <v>Exch Traded Bond Units</v>
          </cell>
          <cell r="S360">
            <v>0</v>
          </cell>
          <cell r="T360">
            <v>400</v>
          </cell>
          <cell r="U360">
            <v>10316</v>
          </cell>
          <cell r="V360">
            <v>10087</v>
          </cell>
          <cell r="X360" t="str">
            <v>YTMBOQ.AXW</v>
          </cell>
          <cell r="Y360">
            <v>10169</v>
          </cell>
          <cell r="Z360" t="str">
            <v>YTMBOQ.AXW</v>
          </cell>
          <cell r="AA360">
            <v>10237</v>
          </cell>
          <cell r="AB360" t="str">
            <v>YTMBOQ.AXW</v>
          </cell>
          <cell r="AD360" t="str">
            <v>YTMBOQ.AXW</v>
          </cell>
          <cell r="AF360" t="str">
            <v>YTMBOQ.AXW</v>
          </cell>
          <cell r="AG360">
            <v>10169</v>
          </cell>
        </row>
        <row r="361">
          <cell r="A361" t="str">
            <v>YTMCCA</v>
          </cell>
          <cell r="B361" t="str">
            <v>YTMCCA.AXW</v>
          </cell>
          <cell r="C361" t="str">
            <v>YTMCCA.AXW</v>
          </cell>
          <cell r="D361">
            <v>1</v>
          </cell>
          <cell r="E361">
            <v>2057.1999999999998</v>
          </cell>
          <cell r="F361">
            <v>10286</v>
          </cell>
          <cell r="G361">
            <v>20</v>
          </cell>
          <cell r="J361" t="str">
            <v>YTMCCA.AXW</v>
          </cell>
          <cell r="K361" t="str">
            <v>YTMCCA</v>
          </cell>
          <cell r="L361">
            <v>2</v>
          </cell>
          <cell r="M361">
            <v>1542900</v>
          </cell>
          <cell r="N361">
            <v>15000</v>
          </cell>
          <cell r="O361">
            <v>42332</v>
          </cell>
          <cell r="P361" t="str">
            <v>Xtb Cca19</v>
          </cell>
          <cell r="Q361" t="str">
            <v>Xtb Theta Cca 4.25% Nov-19</v>
          </cell>
          <cell r="R361" t="str">
            <v>Exch Traded Bond Units</v>
          </cell>
          <cell r="S361">
            <v>0</v>
          </cell>
          <cell r="T361">
            <v>425</v>
          </cell>
          <cell r="U361">
            <v>10607</v>
          </cell>
          <cell r="V361">
            <v>10274</v>
          </cell>
          <cell r="X361" t="str">
            <v>YTMCCA.AXW</v>
          </cell>
          <cell r="Y361">
            <v>10274</v>
          </cell>
          <cell r="Z361" t="str">
            <v>YTMCCA.AXW</v>
          </cell>
          <cell r="AA361">
            <v>10541</v>
          </cell>
          <cell r="AB361" t="str">
            <v>YTMCCA.AXW</v>
          </cell>
          <cell r="AD361" t="str">
            <v>YTMCCA.AXW</v>
          </cell>
          <cell r="AF361" t="str">
            <v>YTMCCA.AXW</v>
          </cell>
          <cell r="AG361">
            <v>10286</v>
          </cell>
        </row>
        <row r="362">
          <cell r="A362" t="str">
            <v>YTMCTX</v>
          </cell>
          <cell r="B362" t="str">
            <v>YTMCTX.AXW</v>
          </cell>
          <cell r="C362" t="str">
            <v>YTMCTX.AXW</v>
          </cell>
          <cell r="D362">
            <v>8</v>
          </cell>
          <cell r="E362">
            <v>124032.04000000001</v>
          </cell>
          <cell r="F362">
            <v>10237</v>
          </cell>
          <cell r="G362">
            <v>1213</v>
          </cell>
          <cell r="J362" t="str">
            <v>YTMCTX.AXW</v>
          </cell>
          <cell r="K362" t="str">
            <v>YTMCTX</v>
          </cell>
          <cell r="L362">
            <v>2</v>
          </cell>
          <cell r="M362">
            <v>1023700</v>
          </cell>
          <cell r="N362">
            <v>10000</v>
          </cell>
          <cell r="O362">
            <v>42312</v>
          </cell>
          <cell r="P362" t="str">
            <v>Xtb Ctx18</v>
          </cell>
          <cell r="Q362" t="str">
            <v>Xtb Theta Ctx 7.25% Nov-18</v>
          </cell>
          <cell r="R362" t="str">
            <v>Exch Traded Bond Units</v>
          </cell>
          <cell r="S362">
            <v>0</v>
          </cell>
          <cell r="T362">
            <v>725</v>
          </cell>
          <cell r="U362">
            <v>10872</v>
          </cell>
          <cell r="V362">
            <v>10202</v>
          </cell>
          <cell r="X362" t="str">
            <v>YTMCTX.AXW</v>
          </cell>
          <cell r="Y362">
            <v>10211</v>
          </cell>
          <cell r="Z362" t="str">
            <v>YTMCTX.AXW</v>
          </cell>
          <cell r="AA362">
            <v>10831</v>
          </cell>
          <cell r="AB362" t="str">
            <v>YTMCTX.AXW</v>
          </cell>
          <cell r="AD362" t="str">
            <v>YTMCTX.AXW</v>
          </cell>
          <cell r="AF362" t="str">
            <v>YTMCTX.AXW</v>
          </cell>
          <cell r="AG362">
            <v>10237</v>
          </cell>
        </row>
        <row r="363">
          <cell r="A363" t="str">
            <v>YTMDOW</v>
          </cell>
          <cell r="B363" t="str">
            <v>YTMDOW.AXW</v>
          </cell>
          <cell r="C363" t="str">
            <v>YTMDOW.AXW</v>
          </cell>
          <cell r="D363">
            <v>0</v>
          </cell>
          <cell r="E363">
            <v>0</v>
          </cell>
          <cell r="F363">
            <v>10135</v>
          </cell>
          <cell r="G363">
            <v>0</v>
          </cell>
          <cell r="J363" t="str">
            <v>YTMDOW.AXW</v>
          </cell>
          <cell r="K363" t="str">
            <v>YTMDOW</v>
          </cell>
          <cell r="L363">
            <v>2</v>
          </cell>
          <cell r="M363">
            <v>2584425</v>
          </cell>
          <cell r="N363">
            <v>25500</v>
          </cell>
          <cell r="O363">
            <v>42514</v>
          </cell>
          <cell r="P363" t="str">
            <v>Xtb Dow18</v>
          </cell>
          <cell r="Q363" t="str">
            <v>Xtb Theta Dow 5.75% Nov-18</v>
          </cell>
          <cell r="R363" t="str">
            <v>Exch Traded Bond Units</v>
          </cell>
          <cell r="S363">
            <v>0</v>
          </cell>
          <cell r="T363">
            <v>575</v>
          </cell>
          <cell r="U363">
            <v>10625</v>
          </cell>
          <cell r="V363">
            <v>10133</v>
          </cell>
          <cell r="X363" t="str">
            <v>YTMDOW.AXW</v>
          </cell>
          <cell r="Y363">
            <v>10133</v>
          </cell>
          <cell r="Z363" t="str">
            <v>YTMDOW.AXW</v>
          </cell>
          <cell r="AA363">
            <v>10536</v>
          </cell>
          <cell r="AB363" t="str">
            <v>YTMDOW.AXW</v>
          </cell>
          <cell r="AD363" t="str">
            <v>YTMDOW.AXW</v>
          </cell>
          <cell r="AF363" t="str">
            <v>YTMDOW.AXW</v>
          </cell>
          <cell r="AG363">
            <v>10135</v>
          </cell>
        </row>
        <row r="364">
          <cell r="A364" t="str">
            <v>YTMDO1</v>
          </cell>
          <cell r="B364" t="str">
            <v>YTMDO1.AXW</v>
          </cell>
          <cell r="C364" t="str">
            <v>YTMDO1.AXW</v>
          </cell>
          <cell r="D364">
            <v>48</v>
          </cell>
          <cell r="E364">
            <v>1362166.4599999997</v>
          </cell>
          <cell r="F364">
            <v>10572</v>
          </cell>
          <cell r="G364">
            <v>12926</v>
          </cell>
          <cell r="J364" t="str">
            <v>YTMDO1.AXW</v>
          </cell>
          <cell r="K364" t="str">
            <v>YTMDO1</v>
          </cell>
          <cell r="L364">
            <v>2</v>
          </cell>
          <cell r="M364">
            <v>24714536</v>
          </cell>
          <cell r="N364">
            <v>233200</v>
          </cell>
          <cell r="O364">
            <v>42514</v>
          </cell>
          <cell r="P364" t="str">
            <v>Xtb Do122</v>
          </cell>
          <cell r="Q364" t="str">
            <v>Xtb Theta Do1 4.50% Mar-22</v>
          </cell>
          <cell r="R364" t="str">
            <v>Exch Traded Bond Units</v>
          </cell>
          <cell r="S364">
            <v>0</v>
          </cell>
          <cell r="T364">
            <v>450</v>
          </cell>
          <cell r="U364">
            <v>10812</v>
          </cell>
          <cell r="V364">
            <v>10407</v>
          </cell>
          <cell r="X364" t="str">
            <v>YTMDO1.AXW</v>
          </cell>
          <cell r="Y364">
            <v>10556</v>
          </cell>
          <cell r="Z364" t="str">
            <v>YTMDO1.AXW</v>
          </cell>
          <cell r="AA364">
            <v>10670</v>
          </cell>
          <cell r="AB364" t="str">
            <v>YTMDO1.AXW</v>
          </cell>
          <cell r="AD364" t="str">
            <v>YTMDO1.AXW</v>
          </cell>
          <cell r="AF364" t="str">
            <v>YTMDO1.AXW</v>
          </cell>
          <cell r="AG364">
            <v>10572</v>
          </cell>
        </row>
        <row r="365">
          <cell r="A365" t="str">
            <v>YTMDXS</v>
          </cell>
          <cell r="B365" t="str">
            <v>YTMDXS.AXW</v>
          </cell>
          <cell r="C365" t="str">
            <v>YTMDXS.AXW</v>
          </cell>
          <cell r="D365">
            <v>2</v>
          </cell>
          <cell r="E365">
            <v>9339.5400000000009</v>
          </cell>
          <cell r="F365">
            <v>10269</v>
          </cell>
          <cell r="G365">
            <v>91</v>
          </cell>
          <cell r="J365" t="str">
            <v>YTMDXS.AXW</v>
          </cell>
          <cell r="K365" t="str">
            <v>YTMDXS</v>
          </cell>
          <cell r="L365">
            <v>2</v>
          </cell>
          <cell r="M365">
            <v>770175</v>
          </cell>
          <cell r="N365">
            <v>7500</v>
          </cell>
          <cell r="O365">
            <v>42138</v>
          </cell>
          <cell r="P365" t="str">
            <v>Xtb Dxs18</v>
          </cell>
          <cell r="Q365" t="str">
            <v>Xtb Theta Dxs 5.75% Sep-18</v>
          </cell>
          <cell r="R365" t="str">
            <v>Exch Traded Bond Units</v>
          </cell>
          <cell r="S365">
            <v>0</v>
          </cell>
          <cell r="T365">
            <v>575</v>
          </cell>
          <cell r="U365">
            <v>10688</v>
          </cell>
          <cell r="V365">
            <v>10262</v>
          </cell>
          <cell r="X365" t="str">
            <v>YTMDXS.AXW</v>
          </cell>
          <cell r="Y365">
            <v>10512</v>
          </cell>
          <cell r="Z365" t="str">
            <v>YTMDXS.AXW</v>
          </cell>
          <cell r="AA365">
            <v>10674</v>
          </cell>
          <cell r="AB365" t="str">
            <v>YTMDXS.AXW</v>
          </cell>
          <cell r="AC365">
            <v>0</v>
          </cell>
          <cell r="AD365" t="str">
            <v>YTMDXS.AXW</v>
          </cell>
          <cell r="AF365" t="str">
            <v>YTMDXS.AXW</v>
          </cell>
          <cell r="AG365">
            <v>10269</v>
          </cell>
        </row>
        <row r="366">
          <cell r="A366" t="str">
            <v>YTMDX1</v>
          </cell>
          <cell r="B366" t="str">
            <v>YTMDX1.AXW</v>
          </cell>
          <cell r="C366" t="str">
            <v>YTMDX1.AXW</v>
          </cell>
          <cell r="D366">
            <v>27</v>
          </cell>
          <cell r="E366">
            <v>574436.83000000007</v>
          </cell>
          <cell r="F366">
            <v>10897</v>
          </cell>
          <cell r="G366">
            <v>5302</v>
          </cell>
          <cell r="J366" t="str">
            <v>YTMDX1.AXW</v>
          </cell>
          <cell r="K366" t="str">
            <v>YTMDX1</v>
          </cell>
          <cell r="L366">
            <v>2</v>
          </cell>
          <cell r="M366">
            <v>6333020</v>
          </cell>
          <cell r="N366">
            <v>58000</v>
          </cell>
          <cell r="O366">
            <v>42913</v>
          </cell>
          <cell r="P366" t="str">
            <v>Xtb Dx125</v>
          </cell>
          <cell r="Q366" t="str">
            <v>Xtb Theta Dx1 4.75% Nov-25</v>
          </cell>
          <cell r="R366" t="str">
            <v>Theta(Acbc) Exch Traded Bond Units Dxs Nov-25</v>
          </cell>
          <cell r="S366">
            <v>0</v>
          </cell>
          <cell r="T366">
            <v>475</v>
          </cell>
          <cell r="U366">
            <v>11211</v>
          </cell>
          <cell r="V366">
            <v>10705</v>
          </cell>
          <cell r="X366" t="str">
            <v>YTMDX1.AXW</v>
          </cell>
          <cell r="Y366">
            <v>10884</v>
          </cell>
          <cell r="Z366" t="str">
            <v>YTMDX1.AXW</v>
          </cell>
          <cell r="AA366">
            <v>10989</v>
          </cell>
          <cell r="AB366" t="str">
            <v>YTMDX1.AXW</v>
          </cell>
          <cell r="AD366" t="str">
            <v>YTMDX1.AXW</v>
          </cell>
          <cell r="AF366" t="str">
            <v>YTMDX1.AXW</v>
          </cell>
          <cell r="AG366">
            <v>10897</v>
          </cell>
        </row>
        <row r="367">
          <cell r="A367" t="str">
            <v>YTMGPT</v>
          </cell>
          <cell r="B367" t="str">
            <v>YTMGPT.AXW</v>
          </cell>
          <cell r="C367" t="str">
            <v>YTMGPT.AXW</v>
          </cell>
          <cell r="D367">
            <v>1</v>
          </cell>
          <cell r="E367">
            <v>1589.25</v>
          </cell>
          <cell r="F367">
            <v>10595</v>
          </cell>
          <cell r="G367">
            <v>15</v>
          </cell>
          <cell r="J367" t="str">
            <v>YTMGPT.AXW</v>
          </cell>
          <cell r="K367" t="str">
            <v>YTMGPT</v>
          </cell>
          <cell r="L367">
            <v>2</v>
          </cell>
          <cell r="M367">
            <v>529750</v>
          </cell>
          <cell r="N367">
            <v>5000</v>
          </cell>
          <cell r="O367">
            <v>42138</v>
          </cell>
          <cell r="P367" t="str">
            <v>Xtb Gpt19</v>
          </cell>
          <cell r="Q367" t="str">
            <v>Xtb Theta Gpt 6.75% Jan-19</v>
          </cell>
          <cell r="R367" t="str">
            <v>Exch Traded Bond Units</v>
          </cell>
          <cell r="S367">
            <v>0</v>
          </cell>
          <cell r="T367">
            <v>675</v>
          </cell>
          <cell r="U367">
            <v>11021</v>
          </cell>
          <cell r="V367">
            <v>10529</v>
          </cell>
          <cell r="X367" t="str">
            <v>YTMGPT.AXW</v>
          </cell>
          <cell r="Y367">
            <v>10530</v>
          </cell>
          <cell r="Z367" t="str">
            <v>YTMGPT.AXW</v>
          </cell>
          <cell r="AA367">
            <v>11057</v>
          </cell>
          <cell r="AB367" t="str">
            <v>YTMGPT.AXW</v>
          </cell>
          <cell r="AC367">
            <v>0</v>
          </cell>
          <cell r="AD367" t="str">
            <v>YTMGPT.AXW</v>
          </cell>
          <cell r="AF367" t="str">
            <v>YTMGPT.AXW</v>
          </cell>
          <cell r="AG367">
            <v>10595</v>
          </cell>
        </row>
        <row r="368">
          <cell r="A368" t="str">
            <v>YTMIPL</v>
          </cell>
          <cell r="B368" t="str">
            <v>YTMIPL.AXW</v>
          </cell>
          <cell r="C368" t="str">
            <v>YTMIPL.AXW</v>
          </cell>
          <cell r="D368">
            <v>4</v>
          </cell>
          <cell r="E368">
            <v>41387.53</v>
          </cell>
          <cell r="F368">
            <v>10488</v>
          </cell>
          <cell r="G368">
            <v>396</v>
          </cell>
          <cell r="J368" t="str">
            <v>YTMIPL.AXW</v>
          </cell>
          <cell r="K368" t="str">
            <v>YTMIPL</v>
          </cell>
          <cell r="L368">
            <v>2</v>
          </cell>
          <cell r="M368">
            <v>3251280</v>
          </cell>
          <cell r="N368">
            <v>31000</v>
          </cell>
          <cell r="O368">
            <v>42138</v>
          </cell>
          <cell r="P368" t="str">
            <v>Xtb Ipl19</v>
          </cell>
          <cell r="Q368" t="str">
            <v>Xtb Theta Ipl 5.75% Feb-19</v>
          </cell>
          <cell r="R368" t="str">
            <v>Exch Traded Bond Units</v>
          </cell>
          <cell r="S368">
            <v>0</v>
          </cell>
          <cell r="T368">
            <v>575</v>
          </cell>
          <cell r="U368">
            <v>10787</v>
          </cell>
          <cell r="V368">
            <v>10375</v>
          </cell>
          <cell r="X368" t="str">
            <v>YTMIPL.AXW</v>
          </cell>
          <cell r="Y368">
            <v>10428</v>
          </cell>
          <cell r="Z368" t="str">
            <v>YTMIPL.AXW</v>
          </cell>
          <cell r="AA368">
            <v>10747</v>
          </cell>
          <cell r="AB368" t="str">
            <v>YTMIPL.AXW</v>
          </cell>
          <cell r="AC368">
            <v>0</v>
          </cell>
          <cell r="AD368" t="str">
            <v>YTMIPL.AXW</v>
          </cell>
          <cell r="AF368" t="str">
            <v>YTMIPL.AXW</v>
          </cell>
          <cell r="AG368">
            <v>10488</v>
          </cell>
        </row>
        <row r="369">
          <cell r="A369" t="str">
            <v>YTMLL1</v>
          </cell>
          <cell r="B369" t="str">
            <v>YTMLL1.AXW</v>
          </cell>
          <cell r="C369" t="str">
            <v>YTMLL1.AXW</v>
          </cell>
          <cell r="D369">
            <v>48</v>
          </cell>
          <cell r="E369">
            <v>435964.63</v>
          </cell>
          <cell r="F369">
            <v>10681</v>
          </cell>
          <cell r="G369">
            <v>4079</v>
          </cell>
          <cell r="J369" t="str">
            <v>YTMLL1.AXW</v>
          </cell>
          <cell r="K369" t="str">
            <v>YTMLL1</v>
          </cell>
          <cell r="L369">
            <v>2</v>
          </cell>
          <cell r="M369">
            <v>19669650</v>
          </cell>
          <cell r="N369">
            <v>183400</v>
          </cell>
          <cell r="O369">
            <v>42138</v>
          </cell>
          <cell r="P369" t="str">
            <v>Xtb Ll120</v>
          </cell>
          <cell r="Q369" t="str">
            <v>Xtb Theta Ll1 6.00% May-20</v>
          </cell>
          <cell r="R369" t="str">
            <v>Exch Traded Bond Units</v>
          </cell>
          <cell r="S369">
            <v>0</v>
          </cell>
          <cell r="T369">
            <v>600</v>
          </cell>
          <cell r="U369">
            <v>11123</v>
          </cell>
          <cell r="V369">
            <v>10627</v>
          </cell>
          <cell r="X369" t="str">
            <v>YTMLL1.AXW</v>
          </cell>
          <cell r="Y369">
            <v>10721</v>
          </cell>
          <cell r="Z369" t="str">
            <v>YTMLL1.AXW</v>
          </cell>
          <cell r="AA369">
            <v>10965</v>
          </cell>
          <cell r="AB369" t="str">
            <v>YTMLL1.AXW</v>
          </cell>
          <cell r="AC369">
            <v>11036</v>
          </cell>
          <cell r="AD369" t="str">
            <v>YTMLL1.AXW</v>
          </cell>
          <cell r="AF369" t="str">
            <v>YTMLL1.AXW</v>
          </cell>
          <cell r="AG369">
            <v>10681</v>
          </cell>
        </row>
        <row r="370">
          <cell r="A370" t="str">
            <v>YTMLLC</v>
          </cell>
          <cell r="B370" t="str">
            <v>YTMLLC.AXW</v>
          </cell>
          <cell r="C370" t="str">
            <v>YTMLLC.AXW</v>
          </cell>
          <cell r="D370">
            <v>17</v>
          </cell>
          <cell r="E370">
            <v>426910.41</v>
          </cell>
          <cell r="F370">
            <v>10204</v>
          </cell>
          <cell r="G370">
            <v>4187</v>
          </cell>
          <cell r="J370" t="str">
            <v>YTMLLC.AXW</v>
          </cell>
          <cell r="K370" t="str">
            <v>YTMLLC</v>
          </cell>
          <cell r="L370">
            <v>2</v>
          </cell>
          <cell r="M370">
            <v>6163216</v>
          </cell>
          <cell r="N370">
            <v>60400</v>
          </cell>
          <cell r="O370">
            <v>42138</v>
          </cell>
          <cell r="P370" t="str">
            <v>Xtb Llc18</v>
          </cell>
          <cell r="Q370" t="str">
            <v>Xtb Theta Llc 5.50% Nov-18</v>
          </cell>
          <cell r="R370" t="str">
            <v>Exch Traded Bond Units</v>
          </cell>
          <cell r="S370">
            <v>0</v>
          </cell>
          <cell r="T370">
            <v>550</v>
          </cell>
          <cell r="U370">
            <v>10639</v>
          </cell>
          <cell r="V370">
            <v>10172</v>
          </cell>
          <cell r="X370" t="str">
            <v>YTMLLC.AXW</v>
          </cell>
          <cell r="Y370">
            <v>10200</v>
          </cell>
          <cell r="Z370" t="str">
            <v>YTMLLC.AXW</v>
          </cell>
          <cell r="AA370">
            <v>10493</v>
          </cell>
          <cell r="AB370" t="str">
            <v>YTMLLC.AXW</v>
          </cell>
          <cell r="AC370">
            <v>10707</v>
          </cell>
          <cell r="AD370" t="str">
            <v>YTMLLC.AXW</v>
          </cell>
          <cell r="AF370" t="str">
            <v>YTMLLC.AXW</v>
          </cell>
          <cell r="AG370">
            <v>10204</v>
          </cell>
        </row>
        <row r="371">
          <cell r="A371" t="str">
            <v>YTMMG1</v>
          </cell>
          <cell r="B371" t="str">
            <v>YTMMG1.AXW</v>
          </cell>
          <cell r="C371" t="str">
            <v>YTMMG1.AXW</v>
          </cell>
          <cell r="D371">
            <v>0</v>
          </cell>
          <cell r="E371">
            <v>0</v>
          </cell>
          <cell r="F371">
            <v>10375</v>
          </cell>
          <cell r="G371">
            <v>0</v>
          </cell>
          <cell r="J371" t="str">
            <v>YTMMG1.AXW</v>
          </cell>
          <cell r="K371" t="str">
            <v>YTMMG1</v>
          </cell>
          <cell r="L371">
            <v>2</v>
          </cell>
          <cell r="M371">
            <v>511350</v>
          </cell>
          <cell r="N371">
            <v>5000</v>
          </cell>
          <cell r="O371">
            <v>42312</v>
          </cell>
          <cell r="P371" t="str">
            <v>Acbcmgr17</v>
          </cell>
          <cell r="Q371" t="str">
            <v>Theta(Acbc) Exch Traded Bond Units Mgr Dec-20</v>
          </cell>
          <cell r="R371" t="str">
            <v>Exch Traded Bond Units</v>
          </cell>
          <cell r="S371">
            <v>0</v>
          </cell>
          <cell r="T371">
            <v>275</v>
          </cell>
          <cell r="U371">
            <v>10478</v>
          </cell>
          <cell r="V371">
            <v>10190</v>
          </cell>
          <cell r="X371" t="str">
            <v>YTMMG1.AXW</v>
          </cell>
          <cell r="Y371">
            <v>10375</v>
          </cell>
          <cell r="Z371" t="str">
            <v>YTMMG1.AXW</v>
          </cell>
          <cell r="AA371">
            <v>10190</v>
          </cell>
          <cell r="AB371" t="str">
            <v>YTMMG1.AXW</v>
          </cell>
          <cell r="AD371" t="str">
            <v>YTMMG1.AXW</v>
          </cell>
          <cell r="AF371" t="str">
            <v>YTMMG1.AXW</v>
          </cell>
          <cell r="AG371">
            <v>0</v>
          </cell>
        </row>
        <row r="372">
          <cell r="A372" t="str">
            <v>YTMMGR</v>
          </cell>
          <cell r="B372" t="str">
            <v>YTMMGR.AXW</v>
          </cell>
          <cell r="C372" t="str">
            <v>YTMMGR.AXW</v>
          </cell>
          <cell r="D372">
            <v>5</v>
          </cell>
          <cell r="E372">
            <v>92398.13</v>
          </cell>
          <cell r="F372">
            <v>10900</v>
          </cell>
          <cell r="G372">
            <v>849</v>
          </cell>
          <cell r="J372" t="str">
            <v>YTMMGR.AXW</v>
          </cell>
          <cell r="K372" t="str">
            <v>YTMMGR</v>
          </cell>
          <cell r="L372">
            <v>2</v>
          </cell>
          <cell r="M372">
            <v>7848000</v>
          </cell>
          <cell r="N372">
            <v>72000</v>
          </cell>
          <cell r="O372">
            <v>42138</v>
          </cell>
          <cell r="P372" t="str">
            <v>Xtb Mgr20</v>
          </cell>
          <cell r="Q372" t="str">
            <v>Xtb Theta Mgr 5.75% Sep-20</v>
          </cell>
          <cell r="R372" t="str">
            <v>Exch Traded Bond Units</v>
          </cell>
          <cell r="S372">
            <v>0</v>
          </cell>
          <cell r="T372">
            <v>575</v>
          </cell>
          <cell r="U372">
            <v>11248</v>
          </cell>
          <cell r="V372">
            <v>10764</v>
          </cell>
          <cell r="X372" t="str">
            <v>YTMMGR.AXW</v>
          </cell>
          <cell r="Y372">
            <v>10861</v>
          </cell>
          <cell r="Z372" t="str">
            <v>YTMMGR.AXW</v>
          </cell>
          <cell r="AA372">
            <v>11176</v>
          </cell>
          <cell r="AB372" t="str">
            <v>YTMMGR.AXW</v>
          </cell>
          <cell r="AC372">
            <v>11251</v>
          </cell>
          <cell r="AD372" t="str">
            <v>YTMMGR.AXW</v>
          </cell>
          <cell r="AF372" t="str">
            <v>YTMMGR.AXW</v>
          </cell>
          <cell r="AG372">
            <v>10900</v>
          </cell>
        </row>
        <row r="373">
          <cell r="A373" t="str">
            <v>YTMNAB</v>
          </cell>
          <cell r="B373" t="str">
            <v>YTMNAB.AXW</v>
          </cell>
          <cell r="C373" t="str">
            <v>YTMNAB.AXW</v>
          </cell>
          <cell r="D373">
            <v>0</v>
          </cell>
          <cell r="E373">
            <v>0</v>
          </cell>
          <cell r="F373">
            <v>10375</v>
          </cell>
          <cell r="G373">
            <v>0</v>
          </cell>
          <cell r="J373" t="str">
            <v>YTMNAB.AXW</v>
          </cell>
          <cell r="K373" t="str">
            <v>YTMNAB</v>
          </cell>
          <cell r="L373">
            <v>2</v>
          </cell>
          <cell r="M373">
            <v>518750</v>
          </cell>
          <cell r="N373">
            <v>5000</v>
          </cell>
          <cell r="O373">
            <v>42332</v>
          </cell>
          <cell r="P373" t="str">
            <v>Xtb Nab19</v>
          </cell>
          <cell r="Q373" t="str">
            <v>Xtb Theta Nab 4.25% May-19</v>
          </cell>
          <cell r="R373" t="str">
            <v>Exch Traded Bond Units</v>
          </cell>
          <cell r="S373">
            <v>0</v>
          </cell>
          <cell r="T373">
            <v>425</v>
          </cell>
          <cell r="U373">
            <v>10574</v>
          </cell>
          <cell r="V373">
            <v>10375</v>
          </cell>
          <cell r="X373" t="str">
            <v>YTMNAB.AXW</v>
          </cell>
          <cell r="Y373">
            <v>10375</v>
          </cell>
          <cell r="Z373" t="str">
            <v>YTMNAB.AXW</v>
          </cell>
          <cell r="AA373">
            <v>10507</v>
          </cell>
          <cell r="AB373" t="str">
            <v>YTMNAB.AXW</v>
          </cell>
          <cell r="AD373" t="str">
            <v>YTMNAB.AXW</v>
          </cell>
          <cell r="AF373" t="str">
            <v>YTMNAB.AXW</v>
          </cell>
          <cell r="AG373">
            <v>10375</v>
          </cell>
        </row>
        <row r="374">
          <cell r="A374" t="str">
            <v>YTMNVN</v>
          </cell>
          <cell r="B374" t="str">
            <v>YTMNVN.AXW</v>
          </cell>
          <cell r="C374" t="str">
            <v>YTMNVN.AXW</v>
          </cell>
          <cell r="D374">
            <v>31</v>
          </cell>
          <cell r="E374">
            <v>1310659.3900000001</v>
          </cell>
          <cell r="F374">
            <v>12040</v>
          </cell>
          <cell r="G374">
            <v>10870</v>
          </cell>
          <cell r="J374" t="str">
            <v>YTMNVN.AXW</v>
          </cell>
          <cell r="K374" t="str">
            <v>YTMNVN</v>
          </cell>
          <cell r="L374">
            <v>2</v>
          </cell>
          <cell r="M374">
            <v>0</v>
          </cell>
          <cell r="N374">
            <v>0</v>
          </cell>
          <cell r="O374">
            <v>42138</v>
          </cell>
          <cell r="P374" t="str">
            <v>Xtb Nvn19</v>
          </cell>
          <cell r="Q374" t="str">
            <v>Xtb Theta Nvn 5.00% Dec-19</v>
          </cell>
          <cell r="R374" t="str">
            <v>Exch Traded Bond Units</v>
          </cell>
          <cell r="S374">
            <v>0</v>
          </cell>
          <cell r="X374" t="str">
            <v>YTMNVN.AXW</v>
          </cell>
          <cell r="Y374">
            <v>0</v>
          </cell>
          <cell r="Z374" t="str">
            <v>YTMNVN.AXW</v>
          </cell>
          <cell r="AA374">
            <v>0</v>
          </cell>
          <cell r="AB374" t="str">
            <v>YTMNVN.AXW</v>
          </cell>
          <cell r="AC374">
            <v>0</v>
          </cell>
          <cell r="AD374" t="str">
            <v>YTMNVN.AXW</v>
          </cell>
          <cell r="AF374" t="str">
            <v>YTMNVN.AXW</v>
          </cell>
          <cell r="AG374">
            <v>0</v>
          </cell>
        </row>
        <row r="375">
          <cell r="A375" t="str">
            <v>YTMQF1</v>
          </cell>
          <cell r="B375" t="str">
            <v>YTMQF1.AXW</v>
          </cell>
          <cell r="C375" t="str">
            <v>YTMQF1.AXW</v>
          </cell>
          <cell r="D375">
            <v>10</v>
          </cell>
          <cell r="E375">
            <v>614239.66</v>
          </cell>
          <cell r="F375">
            <v>10762</v>
          </cell>
          <cell r="G375">
            <v>5713</v>
          </cell>
          <cell r="J375" t="str">
            <v>YTMQF1.AXW</v>
          </cell>
          <cell r="K375" t="str">
            <v>YTMQF1</v>
          </cell>
          <cell r="L375">
            <v>2</v>
          </cell>
          <cell r="M375">
            <v>9384464</v>
          </cell>
          <cell r="N375">
            <v>87200</v>
          </cell>
          <cell r="O375">
            <v>42312</v>
          </cell>
          <cell r="P375" t="str">
            <v>Xtb Qf120</v>
          </cell>
          <cell r="Q375" t="str">
            <v>Xtb Theta Qf1 6.50% Apr-20</v>
          </cell>
          <cell r="R375" t="str">
            <v>Exch Traded Bond Units</v>
          </cell>
          <cell r="S375">
            <v>0</v>
          </cell>
          <cell r="T375">
            <v>650</v>
          </cell>
          <cell r="U375">
            <v>11225</v>
          </cell>
          <cell r="V375">
            <v>10686</v>
          </cell>
          <cell r="X375" t="str">
            <v>YTMQF1.AXW</v>
          </cell>
          <cell r="Y375">
            <v>10744</v>
          </cell>
          <cell r="Z375" t="str">
            <v>YTMQF1.AXW</v>
          </cell>
          <cell r="AA375">
            <v>11138</v>
          </cell>
          <cell r="AB375" t="str">
            <v>YTMQF1.AXW</v>
          </cell>
          <cell r="AD375" t="str">
            <v>YTMQF1.AXW</v>
          </cell>
          <cell r="AF375" t="str">
            <v>YTMQF1.AXW</v>
          </cell>
          <cell r="AG375">
            <v>10762</v>
          </cell>
        </row>
        <row r="376">
          <cell r="A376" t="str">
            <v>YTMQF2</v>
          </cell>
          <cell r="B376" t="str">
            <v>YTMQF2.AXW</v>
          </cell>
          <cell r="C376" t="str">
            <v>YTMQF2.AXW</v>
          </cell>
          <cell r="D376">
            <v>26</v>
          </cell>
          <cell r="E376">
            <v>861075.58000000007</v>
          </cell>
          <cell r="F376">
            <v>11338</v>
          </cell>
          <cell r="G376">
            <v>7623</v>
          </cell>
          <cell r="J376" t="str">
            <v>YTMQF2.AXW</v>
          </cell>
          <cell r="K376" t="str">
            <v>YTMQF2</v>
          </cell>
          <cell r="L376">
            <v>2</v>
          </cell>
          <cell r="M376">
            <v>16250588</v>
          </cell>
          <cell r="N376">
            <v>142900</v>
          </cell>
          <cell r="O376">
            <v>42312</v>
          </cell>
          <cell r="P376" t="str">
            <v>Xtb Qf221</v>
          </cell>
          <cell r="Q376" t="str">
            <v>Xtb Theta Qf2 7.50% Jun-21</v>
          </cell>
          <cell r="R376" t="str">
            <v>Exch Traded Bond Units</v>
          </cell>
          <cell r="S376">
            <v>0</v>
          </cell>
          <cell r="T376">
            <v>750</v>
          </cell>
          <cell r="U376">
            <v>11979</v>
          </cell>
          <cell r="V376">
            <v>11263</v>
          </cell>
          <cell r="X376" t="str">
            <v>YTMQF2.AXW</v>
          </cell>
          <cell r="Y376">
            <v>11329</v>
          </cell>
          <cell r="Z376" t="str">
            <v>YTMQF2.AXW</v>
          </cell>
          <cell r="AA376">
            <v>11693</v>
          </cell>
          <cell r="AB376" t="str">
            <v>YTMQF2.AXW</v>
          </cell>
          <cell r="AD376" t="str">
            <v>YTMQF2.AXW</v>
          </cell>
          <cell r="AF376" t="str">
            <v>YTMQF2.AXW</v>
          </cell>
          <cell r="AG376">
            <v>11338</v>
          </cell>
        </row>
        <row r="377">
          <cell r="A377" t="str">
            <v>YTMQF3</v>
          </cell>
          <cell r="B377" t="str">
            <v>YTMQF3.AXW</v>
          </cell>
          <cell r="C377" t="str">
            <v>YTMQF3.AXW</v>
          </cell>
          <cell r="D377">
            <v>45</v>
          </cell>
          <cell r="E377">
            <v>1036787.3300000002</v>
          </cell>
          <cell r="F377">
            <v>11786</v>
          </cell>
          <cell r="G377">
            <v>8839</v>
          </cell>
          <cell r="J377" t="str">
            <v>YTMQF3.AXW</v>
          </cell>
          <cell r="K377" t="str">
            <v>YTMQF3</v>
          </cell>
          <cell r="L377">
            <v>2</v>
          </cell>
          <cell r="M377">
            <v>18328785</v>
          </cell>
          <cell r="N377">
            <v>155500</v>
          </cell>
          <cell r="O377">
            <v>42312</v>
          </cell>
          <cell r="P377" t="str">
            <v>Xtb Qf322</v>
          </cell>
          <cell r="Q377" t="str">
            <v>Xtb Theta Qf3 7.75% May-22</v>
          </cell>
          <cell r="R377" t="str">
            <v>Exch Traded Bond Units</v>
          </cell>
          <cell r="S377">
            <v>0</v>
          </cell>
          <cell r="T377">
            <v>775</v>
          </cell>
          <cell r="U377">
            <v>12365</v>
          </cell>
          <cell r="V377">
            <v>11666</v>
          </cell>
          <cell r="X377" t="str">
            <v>YTMQF3.AXW</v>
          </cell>
          <cell r="Y377">
            <v>11783</v>
          </cell>
          <cell r="Z377" t="str">
            <v>YTMQF3.AXW</v>
          </cell>
          <cell r="AA377">
            <v>12103</v>
          </cell>
          <cell r="AB377" t="str">
            <v>YTMQF3.AXW</v>
          </cell>
          <cell r="AD377" t="str">
            <v>YTMQF3.AXW</v>
          </cell>
          <cell r="AF377" t="str">
            <v>YTMQF3.AXW</v>
          </cell>
          <cell r="AG377">
            <v>11786</v>
          </cell>
        </row>
        <row r="378">
          <cell r="A378" t="str">
            <v>YTMSCG</v>
          </cell>
          <cell r="B378" t="str">
            <v>YTMSCG.AXW</v>
          </cell>
          <cell r="C378" t="str">
            <v>YTMSCG.AXW</v>
          </cell>
          <cell r="D378">
            <v>16</v>
          </cell>
          <cell r="E378">
            <v>145357.25</v>
          </cell>
          <cell r="F378">
            <v>10435</v>
          </cell>
          <cell r="G378">
            <v>1395</v>
          </cell>
          <cell r="J378" t="str">
            <v>YTMSCG.AXW</v>
          </cell>
          <cell r="K378" t="str">
            <v>YTMSCG</v>
          </cell>
          <cell r="L378">
            <v>2</v>
          </cell>
          <cell r="M378">
            <v>4382700</v>
          </cell>
          <cell r="N378">
            <v>42000</v>
          </cell>
          <cell r="O378">
            <v>42138</v>
          </cell>
          <cell r="P378" t="str">
            <v>Xtb Scg19</v>
          </cell>
          <cell r="Q378" t="str">
            <v>Xtb Theta Scg 5.00% Oct-19</v>
          </cell>
          <cell r="R378" t="str">
            <v>Exch Traded Bond Units</v>
          </cell>
          <cell r="S378">
            <v>0</v>
          </cell>
          <cell r="T378">
            <v>500</v>
          </cell>
          <cell r="U378">
            <v>10743</v>
          </cell>
          <cell r="V378">
            <v>10340</v>
          </cell>
          <cell r="X378" t="str">
            <v>YTMSCG.AXW</v>
          </cell>
          <cell r="Y378">
            <v>10386</v>
          </cell>
          <cell r="Z378" t="str">
            <v>YTMSCG.AXW</v>
          </cell>
          <cell r="AA378">
            <v>10701</v>
          </cell>
          <cell r="AB378" t="str">
            <v>YTMSCG.AXW</v>
          </cell>
          <cell r="AC378">
            <v>10824</v>
          </cell>
          <cell r="AD378" t="str">
            <v>YTMSCG.AXW</v>
          </cell>
          <cell r="AF378" t="str">
            <v>YTMSCG.AXW</v>
          </cell>
          <cell r="AG378">
            <v>10435</v>
          </cell>
        </row>
        <row r="379">
          <cell r="A379" t="str">
            <v>YTMSG1</v>
          </cell>
          <cell r="B379" t="str">
            <v>YTMSG1.AXW</v>
          </cell>
          <cell r="C379" t="str">
            <v>YTMSG1.AXW</v>
          </cell>
          <cell r="D379">
            <v>8</v>
          </cell>
          <cell r="E379">
            <v>253545.31</v>
          </cell>
          <cell r="F379">
            <v>11471</v>
          </cell>
          <cell r="G379">
            <v>2217</v>
          </cell>
          <cell r="J379" t="str">
            <v>YTMSG1.AXW</v>
          </cell>
          <cell r="K379" t="str">
            <v>YTMSG1</v>
          </cell>
          <cell r="L379">
            <v>2</v>
          </cell>
          <cell r="M379">
            <v>4588400</v>
          </cell>
          <cell r="N379">
            <v>40000</v>
          </cell>
          <cell r="O379">
            <v>42138</v>
          </cell>
          <cell r="P379" t="str">
            <v>Xtb SG120</v>
          </cell>
          <cell r="Q379" t="str">
            <v>Xtb Theta SG1 8.25% Nov-20</v>
          </cell>
          <cell r="R379" t="str">
            <v>Exch Traded Bond Units</v>
          </cell>
          <cell r="S379">
            <v>0</v>
          </cell>
          <cell r="T379">
            <v>825</v>
          </cell>
          <cell r="U379">
            <v>12118</v>
          </cell>
          <cell r="V379">
            <v>11395</v>
          </cell>
          <cell r="X379" t="str">
            <v>YTMSG1.AXW</v>
          </cell>
          <cell r="Y379">
            <v>11451</v>
          </cell>
          <cell r="Z379" t="str">
            <v>YTMSG1.AXW</v>
          </cell>
          <cell r="AA379">
            <v>12010</v>
          </cell>
          <cell r="AB379" t="str">
            <v>YTMSG1.AXW</v>
          </cell>
          <cell r="AC379">
            <v>12395</v>
          </cell>
          <cell r="AD379" t="str">
            <v>YTMSG1.AXW</v>
          </cell>
          <cell r="AF379" t="str">
            <v>YTMSG1.AXW</v>
          </cell>
          <cell r="AG379">
            <v>11471</v>
          </cell>
        </row>
        <row r="380">
          <cell r="A380" t="str">
            <v>YTMSGP</v>
          </cell>
          <cell r="B380" t="str">
            <v>YTMSGP.AXW</v>
          </cell>
          <cell r="C380" t="str">
            <v>YTMSGP.AXW</v>
          </cell>
          <cell r="D380">
            <v>1</v>
          </cell>
          <cell r="E380">
            <v>2004.88</v>
          </cell>
          <cell r="F380">
            <v>10552</v>
          </cell>
          <cell r="G380">
            <v>19</v>
          </cell>
          <cell r="J380" t="str">
            <v>YTMSGP.AXW</v>
          </cell>
          <cell r="K380" t="str">
            <v>YTMSGP</v>
          </cell>
          <cell r="L380">
            <v>2</v>
          </cell>
          <cell r="M380">
            <v>1582800</v>
          </cell>
          <cell r="N380">
            <v>15000</v>
          </cell>
          <cell r="O380">
            <v>42138</v>
          </cell>
          <cell r="P380" t="str">
            <v>Xtb Sgp19</v>
          </cell>
          <cell r="Q380" t="str">
            <v>Xtb Theta Sgp 5.50% Sep-19</v>
          </cell>
          <cell r="R380" t="str">
            <v>Exch Traded Bond Units</v>
          </cell>
          <cell r="S380">
            <v>0</v>
          </cell>
          <cell r="T380">
            <v>550</v>
          </cell>
          <cell r="U380">
            <v>10903</v>
          </cell>
          <cell r="V380">
            <v>10552</v>
          </cell>
          <cell r="X380" t="str">
            <v>YTMSGP.AXW</v>
          </cell>
          <cell r="Y380">
            <v>10628</v>
          </cell>
          <cell r="Z380" t="str">
            <v>YTMSGP.AXW</v>
          </cell>
          <cell r="AA380">
            <v>10926</v>
          </cell>
          <cell r="AB380" t="str">
            <v>YTMSGP.AXW</v>
          </cell>
          <cell r="AC380">
            <v>11150</v>
          </cell>
          <cell r="AD380" t="str">
            <v>YTMSGP.AXW</v>
          </cell>
          <cell r="AF380" t="str">
            <v>YTMSGP.AXW</v>
          </cell>
          <cell r="AG380">
            <v>10552</v>
          </cell>
        </row>
        <row r="381">
          <cell r="A381" t="str">
            <v>YTMSYD</v>
          </cell>
          <cell r="B381" t="str">
            <v>YTMSYD.AXW</v>
          </cell>
          <cell r="C381" t="str">
            <v>YTMSYD.AXW</v>
          </cell>
          <cell r="D381">
            <v>13</v>
          </cell>
          <cell r="E381">
            <v>166509.91000000003</v>
          </cell>
          <cell r="F381">
            <v>10374</v>
          </cell>
          <cell r="G381">
            <v>1607</v>
          </cell>
          <cell r="J381" t="str">
            <v>YTMSYD.AXW</v>
          </cell>
          <cell r="K381" t="str">
            <v>YTMSYD</v>
          </cell>
          <cell r="L381">
            <v>2</v>
          </cell>
          <cell r="M381">
            <v>929510.40000000002</v>
          </cell>
          <cell r="N381">
            <v>8960</v>
          </cell>
          <cell r="O381">
            <v>42332</v>
          </cell>
          <cell r="P381" t="str">
            <v>Xtb Syd18</v>
          </cell>
          <cell r="Q381" t="str">
            <v>Xtb Theta Syd 7.75% Jul-18</v>
          </cell>
          <cell r="R381" t="str">
            <v>Exch Traded Bond Units</v>
          </cell>
          <cell r="S381">
            <v>0</v>
          </cell>
          <cell r="T381">
            <v>775</v>
          </cell>
          <cell r="U381">
            <v>10725</v>
          </cell>
          <cell r="V381">
            <v>10318</v>
          </cell>
          <cell r="X381" t="str">
            <v>YTMSYD.AXW</v>
          </cell>
          <cell r="Y381">
            <v>10353</v>
          </cell>
          <cell r="Z381" t="str">
            <v>YTMSYD.AXW</v>
          </cell>
          <cell r="AA381">
            <v>10665</v>
          </cell>
          <cell r="AB381" t="str">
            <v>YTMSYD.AXW</v>
          </cell>
          <cell r="AD381" t="str">
            <v>YTMSYD.AXW</v>
          </cell>
          <cell r="AF381" t="str">
            <v>YTMSYD.AXW</v>
          </cell>
          <cell r="AG381">
            <v>10374</v>
          </cell>
        </row>
        <row r="382">
          <cell r="A382" t="str">
            <v>YTMTCL</v>
          </cell>
          <cell r="B382" t="str">
            <v>YTMTCL.AXW</v>
          </cell>
          <cell r="C382" t="str">
            <v>YTMTCL.AXW</v>
          </cell>
          <cell r="D382">
            <v>0</v>
          </cell>
          <cell r="E382">
            <v>0</v>
          </cell>
          <cell r="F382">
            <v>10801</v>
          </cell>
          <cell r="G382">
            <v>0</v>
          </cell>
          <cell r="J382" t="str">
            <v>YTMTCL.AXW</v>
          </cell>
          <cell r="K382" t="str">
            <v>YTMTCL</v>
          </cell>
          <cell r="L382">
            <v>2</v>
          </cell>
          <cell r="M382">
            <v>1080100</v>
          </cell>
          <cell r="N382">
            <v>10000</v>
          </cell>
          <cell r="O382">
            <v>42913</v>
          </cell>
          <cell r="P382" t="str">
            <v>Xtb Tcl21</v>
          </cell>
          <cell r="Q382" t="str">
            <v>Xtb Theta Tcl 4.90% Dec-21</v>
          </cell>
          <cell r="R382" t="str">
            <v>Theta(Acbc) Exch Traded Bond Units Tcl Dec-21</v>
          </cell>
          <cell r="S382">
            <v>0</v>
          </cell>
          <cell r="T382">
            <v>490</v>
          </cell>
          <cell r="U382">
            <v>11016</v>
          </cell>
          <cell r="V382">
            <v>10786</v>
          </cell>
          <cell r="X382" t="str">
            <v>YTMTCL.AXW</v>
          </cell>
          <cell r="Y382">
            <v>10801</v>
          </cell>
          <cell r="Z382" t="str">
            <v>YTMTCL.AXW</v>
          </cell>
          <cell r="AA382">
            <v>0</v>
          </cell>
          <cell r="AB382" t="str">
            <v>YTMTCL.AXW</v>
          </cell>
          <cell r="AD382" t="str">
            <v>YTMTCL.AXW</v>
          </cell>
          <cell r="AF382" t="str">
            <v>YTMTCL.AXW</v>
          </cell>
          <cell r="AG382">
            <v>10801</v>
          </cell>
        </row>
        <row r="383">
          <cell r="A383" t="str">
            <v>YTMTLS</v>
          </cell>
          <cell r="B383" t="str">
            <v>YTMTLS.AXW</v>
          </cell>
          <cell r="C383" t="str">
            <v>YTMTLS.AXW</v>
          </cell>
          <cell r="D383">
            <v>11</v>
          </cell>
          <cell r="E383">
            <v>121408.29</v>
          </cell>
          <cell r="F383">
            <v>11462</v>
          </cell>
          <cell r="G383">
            <v>1058</v>
          </cell>
          <cell r="J383" t="str">
            <v>YTMTLS.AXW</v>
          </cell>
          <cell r="K383" t="str">
            <v>YTMTLS</v>
          </cell>
          <cell r="L383">
            <v>2</v>
          </cell>
          <cell r="M383">
            <v>4527490</v>
          </cell>
          <cell r="N383">
            <v>39500</v>
          </cell>
          <cell r="O383">
            <v>42138</v>
          </cell>
          <cell r="P383" t="str">
            <v>Xtb Tls20</v>
          </cell>
          <cell r="Q383" t="str">
            <v>Xtb Theta Tls 7.75% Jul-20</v>
          </cell>
          <cell r="R383" t="str">
            <v>Exch Traded Bond Units</v>
          </cell>
          <cell r="S383">
            <v>0</v>
          </cell>
          <cell r="T383">
            <v>775</v>
          </cell>
          <cell r="U383">
            <v>11806</v>
          </cell>
          <cell r="V383">
            <v>11366</v>
          </cell>
          <cell r="X383" t="str">
            <v>YTMTLS.AXW</v>
          </cell>
          <cell r="Y383">
            <v>11510</v>
          </cell>
          <cell r="Z383" t="str">
            <v>YTMTLS.AXW</v>
          </cell>
          <cell r="AA383">
            <v>12031</v>
          </cell>
          <cell r="AB383" t="str">
            <v>YTMTLS.AXW</v>
          </cell>
          <cell r="AC383">
            <v>12605</v>
          </cell>
          <cell r="AD383" t="str">
            <v>YTMTLS.AXW</v>
          </cell>
          <cell r="AF383" t="str">
            <v>YTMTLS.AXW</v>
          </cell>
          <cell r="AG383">
            <v>11462</v>
          </cell>
        </row>
        <row r="384">
          <cell r="A384" t="str">
            <v>YTMTL1</v>
          </cell>
          <cell r="B384" t="str">
            <v>YTMTL1.AXW</v>
          </cell>
          <cell r="C384" t="str">
            <v>YTMTL1.AXW</v>
          </cell>
          <cell r="D384">
            <v>6</v>
          </cell>
          <cell r="E384">
            <v>702988.37</v>
          </cell>
          <cell r="F384">
            <v>10609</v>
          </cell>
          <cell r="G384">
            <v>6655</v>
          </cell>
          <cell r="J384" t="str">
            <v>YTMTL1.AXW</v>
          </cell>
          <cell r="K384" t="str">
            <v>YTMTL1</v>
          </cell>
          <cell r="L384">
            <v>2</v>
          </cell>
          <cell r="M384">
            <v>3426707</v>
          </cell>
          <cell r="N384">
            <v>32300</v>
          </cell>
          <cell r="O384">
            <v>42913</v>
          </cell>
          <cell r="P384" t="str">
            <v>Xtb Tl122</v>
          </cell>
          <cell r="Q384" t="str">
            <v>Xtb Theta Tl1 4.00% Sep-22</v>
          </cell>
          <cell r="R384" t="str">
            <v>Theta(Acbc) Exch Traded Bond Units Tls Sep-22</v>
          </cell>
          <cell r="S384">
            <v>0</v>
          </cell>
          <cell r="T384">
            <v>400</v>
          </cell>
          <cell r="U384">
            <v>10864</v>
          </cell>
          <cell r="V384">
            <v>10551</v>
          </cell>
          <cell r="X384" t="str">
            <v>YTMTL1.AXW</v>
          </cell>
          <cell r="Y384">
            <v>10668</v>
          </cell>
          <cell r="Z384" t="str">
            <v>YTMTL1.AXW</v>
          </cell>
          <cell r="AA384">
            <v>0</v>
          </cell>
          <cell r="AB384" t="str">
            <v>YTMTL1.AXW</v>
          </cell>
          <cell r="AD384" t="str">
            <v>YTMTL1.AXW</v>
          </cell>
          <cell r="AF384" t="str">
            <v>YTMTL1.AXW</v>
          </cell>
          <cell r="AG384">
            <v>10609</v>
          </cell>
        </row>
        <row r="385">
          <cell r="A385" t="str">
            <v>YTMWE1</v>
          </cell>
          <cell r="B385" t="str">
            <v>YTMWE1.AXW</v>
          </cell>
          <cell r="C385" t="str">
            <v>YTMWE1.AXW</v>
          </cell>
          <cell r="D385">
            <v>5</v>
          </cell>
          <cell r="E385">
            <v>160275.63999999998</v>
          </cell>
          <cell r="F385">
            <v>10573</v>
          </cell>
          <cell r="G385">
            <v>1514</v>
          </cell>
          <cell r="J385" t="str">
            <v>YTMWE1.AXW</v>
          </cell>
          <cell r="K385" t="str">
            <v>YTMWE1</v>
          </cell>
          <cell r="L385">
            <v>2</v>
          </cell>
          <cell r="M385">
            <v>6026610</v>
          </cell>
          <cell r="N385">
            <v>57000</v>
          </cell>
          <cell r="O385">
            <v>42138</v>
          </cell>
          <cell r="P385" t="str">
            <v>Xtb We120</v>
          </cell>
          <cell r="Q385" t="str">
            <v>Xtb Theta We1 4.75% Mar-20</v>
          </cell>
          <cell r="R385" t="str">
            <v>Exch Traded Bond Units</v>
          </cell>
          <cell r="S385">
            <v>0</v>
          </cell>
          <cell r="T385">
            <v>475</v>
          </cell>
          <cell r="U385">
            <v>10862</v>
          </cell>
          <cell r="V385">
            <v>10514</v>
          </cell>
          <cell r="X385" t="str">
            <v>YTMWE1.AXW</v>
          </cell>
          <cell r="Y385">
            <v>10543</v>
          </cell>
          <cell r="Z385" t="str">
            <v>YTMWE1.AXW</v>
          </cell>
          <cell r="AA385">
            <v>10768</v>
          </cell>
          <cell r="AB385" t="str">
            <v>YTMWE1.AXW</v>
          </cell>
          <cell r="AC385">
            <v>10969</v>
          </cell>
          <cell r="AD385" t="str">
            <v>YTMWE1.AXW</v>
          </cell>
          <cell r="AF385" t="str">
            <v>YTMWE1.AXW</v>
          </cell>
          <cell r="AG385">
            <v>10573</v>
          </cell>
        </row>
        <row r="386">
          <cell r="A386" t="str">
            <v>YTMWES</v>
          </cell>
          <cell r="B386" t="str">
            <v>YTMWES.AXW</v>
          </cell>
          <cell r="C386" t="str">
            <v>YTMWES.AXW</v>
          </cell>
          <cell r="D386">
            <v>4</v>
          </cell>
          <cell r="E386">
            <v>235017.38</v>
          </cell>
          <cell r="F386">
            <v>10476</v>
          </cell>
          <cell r="G386">
            <v>2244</v>
          </cell>
          <cell r="J386" t="str">
            <v>YTMWES.AXW</v>
          </cell>
          <cell r="K386" t="str">
            <v>YTMWES</v>
          </cell>
          <cell r="L386">
            <v>2</v>
          </cell>
          <cell r="M386">
            <v>1571400</v>
          </cell>
          <cell r="N386">
            <v>15000</v>
          </cell>
          <cell r="O386">
            <v>42138</v>
          </cell>
          <cell r="P386" t="str">
            <v>Xtb Wes19</v>
          </cell>
          <cell r="Q386" t="str">
            <v>Xtb Theta Wes 6.25% Mar-19</v>
          </cell>
          <cell r="R386" t="str">
            <v>Exch Traded Bond Units</v>
          </cell>
          <cell r="S386">
            <v>0</v>
          </cell>
          <cell r="T386">
            <v>625</v>
          </cell>
          <cell r="U386">
            <v>10943</v>
          </cell>
          <cell r="V386">
            <v>10433</v>
          </cell>
          <cell r="X386" t="str">
            <v>YTMWES.AXW</v>
          </cell>
          <cell r="Y386">
            <v>10463</v>
          </cell>
          <cell r="Z386" t="str">
            <v>YTMWES.AXW</v>
          </cell>
          <cell r="AA386">
            <v>10865</v>
          </cell>
          <cell r="AB386" t="str">
            <v>YTMWES.AXW</v>
          </cell>
          <cell r="AC386">
            <v>11416</v>
          </cell>
          <cell r="AD386" t="str">
            <v>YTMWES.AXW</v>
          </cell>
          <cell r="AF386" t="str">
            <v>YTMWES.AXW</v>
          </cell>
          <cell r="AG386">
            <v>10476</v>
          </cell>
        </row>
        <row r="387">
          <cell r="A387" t="str">
            <v>YTMWOW</v>
          </cell>
          <cell r="B387" t="str">
            <v>YTMWOW.AXW</v>
          </cell>
          <cell r="C387" t="str">
            <v>YTMWOW.AXW</v>
          </cell>
          <cell r="D387">
            <v>4</v>
          </cell>
          <cell r="E387">
            <v>23827.990000000005</v>
          </cell>
          <cell r="F387">
            <v>10452</v>
          </cell>
          <cell r="G387">
            <v>228</v>
          </cell>
          <cell r="J387" t="str">
            <v>YTMWOW.AXW</v>
          </cell>
          <cell r="K387" t="str">
            <v>YTMWOW</v>
          </cell>
          <cell r="L387">
            <v>2</v>
          </cell>
          <cell r="M387">
            <v>6271200</v>
          </cell>
          <cell r="N387">
            <v>60000</v>
          </cell>
          <cell r="O387">
            <v>42138</v>
          </cell>
          <cell r="P387" t="str">
            <v>Xtb Wow19</v>
          </cell>
          <cell r="Q387" t="str">
            <v>Xtb Theta Wow 6.00% Mar-19</v>
          </cell>
          <cell r="R387" t="str">
            <v>Exch Traded Bond Units</v>
          </cell>
          <cell r="S387">
            <v>0</v>
          </cell>
          <cell r="T387">
            <v>600</v>
          </cell>
          <cell r="U387">
            <v>10884</v>
          </cell>
          <cell r="V387">
            <v>10381</v>
          </cell>
          <cell r="X387" t="str">
            <v>YTMWOW.AXW</v>
          </cell>
          <cell r="Y387">
            <v>10407</v>
          </cell>
          <cell r="Z387" t="str">
            <v>YTMWOW.AXW</v>
          </cell>
          <cell r="AA387">
            <v>10809</v>
          </cell>
          <cell r="AB387" t="str">
            <v>YTMWOW.AXW</v>
          </cell>
          <cell r="AC387">
            <v>11326</v>
          </cell>
          <cell r="AD387" t="str">
            <v>YTMWOW.AXW</v>
          </cell>
          <cell r="AF387" t="str">
            <v>YTMWOW.AXW</v>
          </cell>
          <cell r="AG387">
            <v>10452</v>
          </cell>
        </row>
        <row r="388">
          <cell r="A388" t="str">
            <v>YTMF01</v>
          </cell>
          <cell r="B388" t="str">
            <v>YTMF01.AXW</v>
          </cell>
          <cell r="C388" t="str">
            <v>YTMF01.AXW</v>
          </cell>
          <cell r="D388">
            <v>0</v>
          </cell>
          <cell r="E388">
            <v>0</v>
          </cell>
          <cell r="F388">
            <v>10030</v>
          </cell>
          <cell r="G388">
            <v>0</v>
          </cell>
          <cell r="J388" t="str">
            <v>YTMF01.AXW</v>
          </cell>
          <cell r="K388" t="str">
            <v>YTMF01</v>
          </cell>
          <cell r="L388">
            <v>2</v>
          </cell>
          <cell r="M388">
            <v>4312900</v>
          </cell>
          <cell r="N388">
            <v>43000</v>
          </cell>
          <cell r="O388">
            <v>42320</v>
          </cell>
          <cell r="P388" t="str">
            <v>Xtb F0118</v>
          </cell>
          <cell r="Q388" t="str">
            <v>Xtb Theta F01 Flt Jun-18</v>
          </cell>
          <cell r="R388" t="str">
            <v>Exch Traded Bond Units</v>
          </cell>
          <cell r="S388">
            <v>0</v>
          </cell>
          <cell r="T388">
            <v>263.6397</v>
          </cell>
          <cell r="U388">
            <v>10128</v>
          </cell>
          <cell r="V388">
            <v>10016</v>
          </cell>
          <cell r="X388" t="str">
            <v>YTMF01.AXW</v>
          </cell>
          <cell r="Y388">
            <v>10030</v>
          </cell>
          <cell r="Z388" t="str">
            <v>YTMF01.AXW</v>
          </cell>
          <cell r="AA388">
            <v>10075</v>
          </cell>
          <cell r="AB388" t="str">
            <v>YTMF01.AXW</v>
          </cell>
          <cell r="AD388" t="str">
            <v>YTMF01.AXW</v>
          </cell>
          <cell r="AF388" t="str">
            <v>YTMF01.AXW</v>
          </cell>
          <cell r="AG388">
            <v>10030</v>
          </cell>
        </row>
        <row r="389">
          <cell r="A389" t="str">
            <v>YTMF03</v>
          </cell>
          <cell r="B389" t="str">
            <v>YTMF03.AXW</v>
          </cell>
          <cell r="C389" t="str">
            <v>YTMF03.AXW</v>
          </cell>
          <cell r="D389">
            <v>0</v>
          </cell>
          <cell r="E389">
            <v>0</v>
          </cell>
          <cell r="F389">
            <v>10051</v>
          </cell>
          <cell r="G389">
            <v>0</v>
          </cell>
          <cell r="J389" t="str">
            <v>YTMF03.AXW</v>
          </cell>
          <cell r="K389" t="str">
            <v>YTMF03</v>
          </cell>
          <cell r="L389">
            <v>2</v>
          </cell>
          <cell r="M389">
            <v>8091055</v>
          </cell>
          <cell r="N389">
            <v>80500</v>
          </cell>
          <cell r="O389">
            <v>42320</v>
          </cell>
          <cell r="P389" t="str">
            <v>Xtb F0318</v>
          </cell>
          <cell r="Q389" t="str">
            <v>Xtb Theta F03 Flt Jun-18</v>
          </cell>
          <cell r="R389" t="str">
            <v>Exch Traded Bond Units</v>
          </cell>
          <cell r="S389">
            <v>0</v>
          </cell>
          <cell r="T389">
            <v>277.53019999999998</v>
          </cell>
          <cell r="U389">
            <v>10111</v>
          </cell>
          <cell r="V389">
            <v>10014</v>
          </cell>
          <cell r="X389" t="str">
            <v>YTMF03.AXW</v>
          </cell>
          <cell r="Y389">
            <v>10051</v>
          </cell>
          <cell r="Z389" t="str">
            <v>YTMF03.AXW</v>
          </cell>
          <cell r="AA389">
            <v>10065</v>
          </cell>
          <cell r="AB389" t="str">
            <v>YTMF03.AXW</v>
          </cell>
          <cell r="AD389" t="str">
            <v>YTMF03.AXW</v>
          </cell>
          <cell r="AF389" t="str">
            <v>YTMF03.AXW</v>
          </cell>
          <cell r="AG389">
            <v>10051</v>
          </cell>
        </row>
        <row r="390">
          <cell r="A390" t="str">
            <v>YTMF04</v>
          </cell>
          <cell r="B390" t="str">
            <v>YTMF04.AXW</v>
          </cell>
          <cell r="C390" t="str">
            <v>YTMF04.AXW</v>
          </cell>
          <cell r="D390">
            <v>1</v>
          </cell>
          <cell r="E390">
            <v>100.60000000000001</v>
          </cell>
          <cell r="F390">
            <v>10060</v>
          </cell>
          <cell r="G390">
            <v>1</v>
          </cell>
          <cell r="J390" t="str">
            <v>YTMF04.AXW</v>
          </cell>
          <cell r="K390" t="str">
            <v>YTMF04</v>
          </cell>
          <cell r="L390">
            <v>2</v>
          </cell>
          <cell r="M390">
            <v>3521000</v>
          </cell>
          <cell r="N390">
            <v>35000</v>
          </cell>
          <cell r="O390">
            <v>42320</v>
          </cell>
          <cell r="P390" t="str">
            <v>Xtb F0418</v>
          </cell>
          <cell r="Q390" t="str">
            <v>Xtb Theta F04 Flt Nov-18</v>
          </cell>
          <cell r="R390" t="str">
            <v>Exch Traded Bond Units</v>
          </cell>
          <cell r="S390">
            <v>0</v>
          </cell>
          <cell r="T390">
            <v>266.3904</v>
          </cell>
          <cell r="U390">
            <v>10159</v>
          </cell>
          <cell r="V390">
            <v>10039</v>
          </cell>
          <cell r="X390" t="str">
            <v>YTMF04.AXW</v>
          </cell>
          <cell r="Y390">
            <v>10047</v>
          </cell>
          <cell r="Z390" t="str">
            <v>YTMF04.AXW</v>
          </cell>
          <cell r="AA390">
            <v>10150</v>
          </cell>
          <cell r="AB390" t="str">
            <v>YTMF04.AXW</v>
          </cell>
          <cell r="AD390" t="str">
            <v>YTMF04.AXW</v>
          </cell>
          <cell r="AF390" t="str">
            <v>YTMF04.AXW</v>
          </cell>
          <cell r="AG390">
            <v>10060</v>
          </cell>
        </row>
        <row r="391">
          <cell r="A391" t="str">
            <v>YTMF05</v>
          </cell>
          <cell r="B391" t="str">
            <v>YTMF05.AXW</v>
          </cell>
          <cell r="C391" t="str">
            <v>YTMF05.AXW</v>
          </cell>
          <cell r="D391">
            <v>5</v>
          </cell>
          <cell r="E391">
            <v>130931.34000000001</v>
          </cell>
          <cell r="F391">
            <v>10077</v>
          </cell>
          <cell r="G391">
            <v>1298</v>
          </cell>
          <cell r="J391" t="str">
            <v>YTMF05.AXW</v>
          </cell>
          <cell r="K391" t="str">
            <v>YTMF05</v>
          </cell>
          <cell r="L391">
            <v>2</v>
          </cell>
          <cell r="M391">
            <v>1511550</v>
          </cell>
          <cell r="N391">
            <v>15000</v>
          </cell>
          <cell r="O391">
            <v>42320</v>
          </cell>
          <cell r="P391" t="str">
            <v>Xtb F0519</v>
          </cell>
          <cell r="Q391" t="str">
            <v>Xtb Theta F05 Flt May-19</v>
          </cell>
          <cell r="R391" t="str">
            <v>Exch Traded Bond Units</v>
          </cell>
          <cell r="S391">
            <v>0</v>
          </cell>
          <cell r="T391">
            <v>261.99789999999996</v>
          </cell>
          <cell r="U391">
            <v>10172</v>
          </cell>
          <cell r="V391">
            <v>10067</v>
          </cell>
          <cell r="X391" t="str">
            <v>YTMF05.AXW</v>
          </cell>
          <cell r="Y391">
            <v>10067</v>
          </cell>
          <cell r="Z391" t="str">
            <v>YTMF05.AXW</v>
          </cell>
          <cell r="AA391">
            <v>10109</v>
          </cell>
          <cell r="AB391" t="str">
            <v>YTMF05.AXW</v>
          </cell>
          <cell r="AD391" t="str">
            <v>YTMF05.AXW</v>
          </cell>
          <cell r="AF391" t="str">
            <v>YTMF05.AXW</v>
          </cell>
          <cell r="AG391">
            <v>10077</v>
          </cell>
        </row>
        <row r="392">
          <cell r="A392" t="str">
            <v>YTMF06</v>
          </cell>
          <cell r="B392" t="str">
            <v>YTMF06.AXW</v>
          </cell>
          <cell r="C392" t="str">
            <v>YTMF06.AXW</v>
          </cell>
          <cell r="D392">
            <v>27</v>
          </cell>
          <cell r="E392">
            <v>2697575.38</v>
          </cell>
          <cell r="F392">
            <v>10131</v>
          </cell>
          <cell r="G392">
            <v>26647</v>
          </cell>
          <cell r="J392" t="str">
            <v>YTMF06.AXW</v>
          </cell>
          <cell r="K392" t="str">
            <v>YTMF06</v>
          </cell>
          <cell r="L392">
            <v>2</v>
          </cell>
          <cell r="M392">
            <v>13472900</v>
          </cell>
          <cell r="N392">
            <v>133000</v>
          </cell>
          <cell r="O392">
            <v>42320</v>
          </cell>
          <cell r="P392" t="str">
            <v>Xtb F0619</v>
          </cell>
          <cell r="Q392" t="str">
            <v>Xtb Theta F06 Flt Apr-19</v>
          </cell>
          <cell r="R392" t="str">
            <v>Exch Traded Bond Units</v>
          </cell>
          <cell r="S392">
            <v>0</v>
          </cell>
          <cell r="T392">
            <v>290.17939999999999</v>
          </cell>
          <cell r="U392">
            <v>10199</v>
          </cell>
          <cell r="V392">
            <v>10073</v>
          </cell>
          <cell r="X392" t="str">
            <v>YTMF06.AXW</v>
          </cell>
          <cell r="Y392">
            <v>10110</v>
          </cell>
          <cell r="Z392" t="str">
            <v>YTMF06.AXW</v>
          </cell>
          <cell r="AA392">
            <v>10175</v>
          </cell>
          <cell r="AB392" t="str">
            <v>YTMF06.AXW</v>
          </cell>
          <cell r="AD392" t="str">
            <v>YTMF06.AXW</v>
          </cell>
          <cell r="AF392" t="str">
            <v>YTMF06.AXW</v>
          </cell>
          <cell r="AG392">
            <v>10131</v>
          </cell>
        </row>
        <row r="393">
          <cell r="A393" t="str">
            <v>YTMF07</v>
          </cell>
          <cell r="B393" t="str">
            <v>YTMF07.AXW</v>
          </cell>
          <cell r="C393" t="str">
            <v>YTMF07.AXW</v>
          </cell>
          <cell r="D393">
            <v>3</v>
          </cell>
          <cell r="E393">
            <v>166353.20000000001</v>
          </cell>
          <cell r="F393">
            <v>10144</v>
          </cell>
          <cell r="G393">
            <v>1640</v>
          </cell>
          <cell r="J393" t="str">
            <v>YTMF07.AXW</v>
          </cell>
          <cell r="K393" t="str">
            <v>YTMF07</v>
          </cell>
          <cell r="L393">
            <v>2</v>
          </cell>
          <cell r="M393">
            <v>1521600</v>
          </cell>
          <cell r="N393">
            <v>15000</v>
          </cell>
          <cell r="O393">
            <v>42668</v>
          </cell>
          <cell r="P393" t="str">
            <v>Xtb F0720</v>
          </cell>
          <cell r="Q393" t="str">
            <v>Xtb Theta F07 Flt Apr-20</v>
          </cell>
          <cell r="R393" t="str">
            <v>Exch Traded Bond Units</v>
          </cell>
          <cell r="S393">
            <v>0</v>
          </cell>
          <cell r="T393">
            <v>263.93970000000002</v>
          </cell>
          <cell r="U393">
            <v>10190</v>
          </cell>
          <cell r="V393">
            <v>10102</v>
          </cell>
          <cell r="X393" t="str">
            <v>YTMF07.AXW</v>
          </cell>
          <cell r="Y393">
            <v>10138</v>
          </cell>
          <cell r="Z393" t="str">
            <v>YTMF07.AXW</v>
          </cell>
          <cell r="AA393">
            <v>10169</v>
          </cell>
          <cell r="AB393" t="str">
            <v>YTMF07.AXW</v>
          </cell>
          <cell r="AD393" t="str">
            <v>YTMF07.AXW</v>
          </cell>
          <cell r="AF393" t="str">
            <v>YTMF07.AXW</v>
          </cell>
          <cell r="AG393">
            <v>10144</v>
          </cell>
        </row>
        <row r="394">
          <cell r="A394" t="str">
            <v>YTMF08</v>
          </cell>
          <cell r="B394" t="str">
            <v>YTMF08.AXW</v>
          </cell>
          <cell r="C394" t="str">
            <v>YTMF08.AXW</v>
          </cell>
          <cell r="D394">
            <v>38</v>
          </cell>
          <cell r="E394">
            <v>3376419.6900000004</v>
          </cell>
          <cell r="F394">
            <v>10109</v>
          </cell>
          <cell r="G394">
            <v>33387</v>
          </cell>
          <cell r="J394" t="str">
            <v>YTMF08.AXW</v>
          </cell>
          <cell r="K394" t="str">
            <v>YTMF08</v>
          </cell>
          <cell r="L394">
            <v>2</v>
          </cell>
          <cell r="M394">
            <v>12400675</v>
          </cell>
          <cell r="N394">
            <v>122500</v>
          </cell>
          <cell r="O394">
            <v>42668</v>
          </cell>
          <cell r="P394" t="str">
            <v>Xtb F0819</v>
          </cell>
          <cell r="Q394" t="str">
            <v>Xtb Theta F08 Flt Nov-19</v>
          </cell>
          <cell r="R394" t="str">
            <v>Exch Traded Bond Units</v>
          </cell>
          <cell r="S394">
            <v>0</v>
          </cell>
          <cell r="T394">
            <v>284.31650000000002</v>
          </cell>
          <cell r="U394">
            <v>10177</v>
          </cell>
          <cell r="V394">
            <v>10069</v>
          </cell>
          <cell r="X394" t="str">
            <v>YTMF08.AXW</v>
          </cell>
          <cell r="Y394">
            <v>10101</v>
          </cell>
          <cell r="Z394" t="str">
            <v>YTMF08.AXW</v>
          </cell>
          <cell r="AA394">
            <v>10117</v>
          </cell>
          <cell r="AB394" t="str">
            <v>YTMF08.AXW</v>
          </cell>
          <cell r="AD394" t="str">
            <v>YTMF08.AXW</v>
          </cell>
          <cell r="AF394" t="str">
            <v>YTMF08.AXW</v>
          </cell>
          <cell r="AG394">
            <v>10109</v>
          </cell>
        </row>
        <row r="395">
          <cell r="A395" t="str">
            <v>YTMF09</v>
          </cell>
          <cell r="B395" t="str">
            <v>YTMF09.AXW</v>
          </cell>
          <cell r="C395" t="str">
            <v>YTMF09.AXW</v>
          </cell>
          <cell r="D395">
            <v>49</v>
          </cell>
          <cell r="E395">
            <v>1071773.1299999999</v>
          </cell>
          <cell r="F395">
            <v>10144</v>
          </cell>
          <cell r="G395">
            <v>10574</v>
          </cell>
          <cell r="J395" t="str">
            <v>YTMF09.AXW</v>
          </cell>
          <cell r="K395" t="str">
            <v>YTMF09</v>
          </cell>
          <cell r="L395">
            <v>2</v>
          </cell>
          <cell r="M395">
            <v>13292570</v>
          </cell>
          <cell r="N395">
            <v>131000</v>
          </cell>
          <cell r="O395">
            <v>42668</v>
          </cell>
          <cell r="P395" t="str">
            <v>Xtb F0920</v>
          </cell>
          <cell r="Q395" t="str">
            <v>Xtb Theta F09 Flt Mar-20</v>
          </cell>
          <cell r="R395" t="str">
            <v>Exch Traded Bond Units</v>
          </cell>
          <cell r="S395">
            <v>0</v>
          </cell>
          <cell r="T395">
            <v>291.6986</v>
          </cell>
          <cell r="U395">
            <v>10233</v>
          </cell>
          <cell r="V395">
            <v>10113</v>
          </cell>
          <cell r="X395" t="str">
            <v>YTMF09.AXW</v>
          </cell>
          <cell r="Y395">
            <v>10130</v>
          </cell>
          <cell r="Z395" t="str">
            <v>YTMF09.AXW</v>
          </cell>
          <cell r="AA395">
            <v>10170</v>
          </cell>
          <cell r="AB395" t="str">
            <v>YTMF09.AXW</v>
          </cell>
          <cell r="AD395" t="str">
            <v>YTMF09.AXW</v>
          </cell>
          <cell r="AF395" t="str">
            <v>YTMF09.AXW</v>
          </cell>
          <cell r="AG395">
            <v>10144</v>
          </cell>
        </row>
        <row r="396">
          <cell r="A396" t="str">
            <v>YTMF10</v>
          </cell>
          <cell r="B396" t="str">
            <v>YTMF10.AXW</v>
          </cell>
          <cell r="C396" t="str">
            <v>YTMF10.AXW</v>
          </cell>
          <cell r="D396">
            <v>8</v>
          </cell>
          <cell r="E396">
            <v>167470.70000000001</v>
          </cell>
          <cell r="F396">
            <v>10097</v>
          </cell>
          <cell r="G396">
            <v>1658</v>
          </cell>
          <cell r="J396" t="str">
            <v>YTMF10.AXW</v>
          </cell>
          <cell r="K396" t="str">
            <v>YTMF10</v>
          </cell>
          <cell r="L396">
            <v>2</v>
          </cell>
          <cell r="M396">
            <v>3634920</v>
          </cell>
          <cell r="N396">
            <v>36000</v>
          </cell>
          <cell r="O396">
            <v>42668</v>
          </cell>
          <cell r="P396" t="str">
            <v>Xtb F1020</v>
          </cell>
          <cell r="Q396" t="str">
            <v>Xtb Theta F10 Flt Jun-20</v>
          </cell>
          <cell r="R396" t="str">
            <v>Exch Traded Bond Units</v>
          </cell>
          <cell r="S396">
            <v>0</v>
          </cell>
          <cell r="T396">
            <v>261.7808</v>
          </cell>
          <cell r="U396">
            <v>10195</v>
          </cell>
          <cell r="V396">
            <v>10092</v>
          </cell>
          <cell r="X396" t="str">
            <v>YTMF10.AXW</v>
          </cell>
          <cell r="Y396">
            <v>10162</v>
          </cell>
          <cell r="Z396" t="str">
            <v>YTMF10.AXW</v>
          </cell>
          <cell r="AA396">
            <v>10137</v>
          </cell>
          <cell r="AB396" t="str">
            <v>YTMF10.AXW</v>
          </cell>
          <cell r="AD396" t="str">
            <v>YTMF10.AXW</v>
          </cell>
          <cell r="AF396" t="str">
            <v>YTMF10.AXW</v>
          </cell>
          <cell r="AG396">
            <v>10097</v>
          </cell>
        </row>
        <row r="397">
          <cell r="A397" t="str">
            <v>YTMF11</v>
          </cell>
          <cell r="B397" t="str">
            <v>YTMF11.AXW</v>
          </cell>
          <cell r="C397" t="str">
            <v>YTMF11.AXW</v>
          </cell>
          <cell r="D397">
            <v>12</v>
          </cell>
          <cell r="E397">
            <v>349212.77</v>
          </cell>
          <cell r="F397">
            <v>10162</v>
          </cell>
          <cell r="G397">
            <v>3439</v>
          </cell>
          <cell r="J397" t="str">
            <v>YTMF11.AXW</v>
          </cell>
          <cell r="K397" t="str">
            <v>YTMF11</v>
          </cell>
          <cell r="L397">
            <v>2</v>
          </cell>
          <cell r="M397">
            <v>6700980</v>
          </cell>
          <cell r="N397">
            <v>66000</v>
          </cell>
          <cell r="O397">
            <v>42668</v>
          </cell>
          <cell r="P397" t="str">
            <v>Xtb F1120</v>
          </cell>
          <cell r="Q397" t="str">
            <v>Xtb Theta F11 Flt Jul-20</v>
          </cell>
          <cell r="R397" t="str">
            <v>Exch Traded Bond Units</v>
          </cell>
          <cell r="S397">
            <v>0</v>
          </cell>
          <cell r="T397">
            <v>271.26440000000002</v>
          </cell>
          <cell r="U397">
            <v>10221</v>
          </cell>
          <cell r="V397">
            <v>10116</v>
          </cell>
          <cell r="X397" t="str">
            <v>YTMF11.AXW</v>
          </cell>
          <cell r="Y397">
            <v>10152</v>
          </cell>
          <cell r="Z397" t="str">
            <v>YTMF11.AXW</v>
          </cell>
          <cell r="AA397">
            <v>10192</v>
          </cell>
          <cell r="AB397" t="str">
            <v>YTMF11.AXW</v>
          </cell>
          <cell r="AD397" t="str">
            <v>YTMF11.AXW</v>
          </cell>
          <cell r="AF397" t="str">
            <v>YTMF11.AXW</v>
          </cell>
          <cell r="AG397">
            <v>10162</v>
          </cell>
        </row>
        <row r="398">
          <cell r="A398" t="str">
            <v>YTMANZ</v>
          </cell>
          <cell r="B398" t="str">
            <v>YTMANZ.AXW</v>
          </cell>
          <cell r="C398" t="str">
            <v>YTMANZ.AXW</v>
          </cell>
          <cell r="D398">
            <v>5</v>
          </cell>
          <cell r="E398">
            <v>32795.78</v>
          </cell>
          <cell r="F398">
            <v>10199</v>
          </cell>
          <cell r="G398">
            <v>322</v>
          </cell>
          <cell r="J398" t="str">
            <v>YTMANZ.AXW</v>
          </cell>
          <cell r="K398" t="str">
            <v>YTMANZ</v>
          </cell>
          <cell r="L398">
            <v>2</v>
          </cell>
          <cell r="M398">
            <v>1019900</v>
          </cell>
          <cell r="N398">
            <v>10000</v>
          </cell>
          <cell r="O398">
            <v>42668</v>
          </cell>
          <cell r="P398" t="str">
            <v>Xtb Anz20</v>
          </cell>
          <cell r="Q398" t="str">
            <v>Xtb Theta Anz 3.25% Jun-20</v>
          </cell>
          <cell r="R398" t="str">
            <v>Exch Traded Bond Units</v>
          </cell>
          <cell r="S398">
            <v>0</v>
          </cell>
          <cell r="T398">
            <v>325</v>
          </cell>
          <cell r="U398">
            <v>10467</v>
          </cell>
          <cell r="V398">
            <v>10184</v>
          </cell>
          <cell r="X398" t="str">
            <v>YTMANZ.AXW</v>
          </cell>
          <cell r="Y398">
            <v>10341</v>
          </cell>
          <cell r="Z398" t="str">
            <v>YTMANZ.AXW</v>
          </cell>
          <cell r="AA398">
            <v>10362</v>
          </cell>
          <cell r="AB398" t="str">
            <v>YTMANZ.AXW</v>
          </cell>
          <cell r="AD398" t="str">
            <v>YTMANZ.AXW</v>
          </cell>
          <cell r="AF398" t="str">
            <v>YTMANZ.AXW</v>
          </cell>
          <cell r="AG398">
            <v>10199</v>
          </cell>
        </row>
        <row r="399">
          <cell r="A399" t="str">
            <v>YTMMQG</v>
          </cell>
          <cell r="B399" t="str">
            <v>YTMMQG.AXW</v>
          </cell>
          <cell r="C399" t="str">
            <v>YTMMQG.AXW</v>
          </cell>
          <cell r="D399">
            <v>0</v>
          </cell>
          <cell r="E399">
            <v>0</v>
          </cell>
          <cell r="F399">
            <v>10182</v>
          </cell>
          <cell r="G399">
            <v>0</v>
          </cell>
          <cell r="J399" t="str">
            <v>YTMMQG.AXW</v>
          </cell>
          <cell r="K399" t="str">
            <v>YTMMQG</v>
          </cell>
          <cell r="L399">
            <v>2</v>
          </cell>
          <cell r="M399">
            <v>1018200</v>
          </cell>
          <cell r="N399">
            <v>10000</v>
          </cell>
          <cell r="O399">
            <v>42668</v>
          </cell>
          <cell r="P399" t="str">
            <v>Xtb Mqg20</v>
          </cell>
          <cell r="Q399" t="str">
            <v>Xtb Theta Mqg 3.25% Mar-20</v>
          </cell>
          <cell r="R399" t="str">
            <v>Exch Traded Bond Units</v>
          </cell>
          <cell r="S399">
            <v>0</v>
          </cell>
          <cell r="T399">
            <v>325</v>
          </cell>
          <cell r="U399">
            <v>10423</v>
          </cell>
          <cell r="V399">
            <v>10182</v>
          </cell>
          <cell r="X399" t="str">
            <v>YTMMQG.AXW</v>
          </cell>
          <cell r="Y399">
            <v>10182</v>
          </cell>
          <cell r="Z399" t="str">
            <v>YTMMQG.AXW</v>
          </cell>
          <cell r="AA399">
            <v>10382</v>
          </cell>
          <cell r="AB399" t="str">
            <v>YTMMQG.AXW</v>
          </cell>
          <cell r="AD399" t="str">
            <v>YTMMQG.AXW</v>
          </cell>
          <cell r="AF399" t="str">
            <v>YTMMQG.AXW</v>
          </cell>
          <cell r="AG399">
            <v>10182</v>
          </cell>
        </row>
        <row r="400">
          <cell r="A400" t="str">
            <v>YTMNA1</v>
          </cell>
          <cell r="B400" t="str">
            <v>YTMNA1.AXW</v>
          </cell>
          <cell r="C400" t="str">
            <v>YTMNA1.AXW</v>
          </cell>
          <cell r="D400">
            <v>4</v>
          </cell>
          <cell r="E400">
            <v>118087.66</v>
          </cell>
          <cell r="F400">
            <v>10513</v>
          </cell>
          <cell r="G400">
            <v>1124</v>
          </cell>
          <cell r="J400" t="str">
            <v>YTMNA1.AXW</v>
          </cell>
          <cell r="K400" t="str">
            <v>YTMNA1</v>
          </cell>
          <cell r="L400">
            <v>2</v>
          </cell>
          <cell r="M400">
            <v>5270000</v>
          </cell>
          <cell r="N400">
            <v>50000</v>
          </cell>
          <cell r="O400">
            <v>42668</v>
          </cell>
          <cell r="P400" t="str">
            <v>Xtb Na121</v>
          </cell>
          <cell r="Q400" t="str">
            <v>Xtb Theta Na1 4.00% Dec-21</v>
          </cell>
          <cell r="R400" t="str">
            <v>Exch Traded Bond Units</v>
          </cell>
          <cell r="S400">
            <v>0</v>
          </cell>
          <cell r="T400">
            <v>400</v>
          </cell>
          <cell r="U400">
            <v>10904</v>
          </cell>
          <cell r="V400">
            <v>10483</v>
          </cell>
          <cell r="X400" t="str">
            <v>YTMNA1.AXW</v>
          </cell>
          <cell r="Y400">
            <v>10628</v>
          </cell>
          <cell r="Z400" t="str">
            <v>YTMNA1.AXW</v>
          </cell>
          <cell r="AA400">
            <v>10660</v>
          </cell>
          <cell r="AB400" t="str">
            <v>YTMNA1.AXW</v>
          </cell>
          <cell r="AC400">
            <v>35</v>
          </cell>
          <cell r="AD400" t="str">
            <v>YTMNA1.AXW</v>
          </cell>
          <cell r="AF400" t="str">
            <v>YTMNA1.AXW</v>
          </cell>
          <cell r="AG400">
            <v>10513</v>
          </cell>
        </row>
        <row r="401">
          <cell r="A401" t="str">
            <v>YTMWBC</v>
          </cell>
          <cell r="B401" t="str">
            <v>YTMWBC.AXW</v>
          </cell>
          <cell r="C401" t="str">
            <v>YTMWBC.AXW</v>
          </cell>
          <cell r="D401">
            <v>0</v>
          </cell>
          <cell r="E401">
            <v>0</v>
          </cell>
          <cell r="F401">
            <v>10252</v>
          </cell>
          <cell r="G401">
            <v>0</v>
          </cell>
          <cell r="J401" t="str">
            <v>YTMWBC.AXW</v>
          </cell>
          <cell r="K401" t="str">
            <v>YTMWBC</v>
          </cell>
          <cell r="L401">
            <v>2</v>
          </cell>
          <cell r="M401">
            <v>512600</v>
          </cell>
          <cell r="N401">
            <v>5000</v>
          </cell>
          <cell r="O401">
            <v>42668</v>
          </cell>
          <cell r="P401" t="str">
            <v>Xtb WBC20</v>
          </cell>
          <cell r="Q401" t="str">
            <v>Xtb Theta WBC 3.25% Jan-20</v>
          </cell>
          <cell r="R401" t="str">
            <v>Exch Traded Bond Units</v>
          </cell>
          <cell r="S401">
            <v>0</v>
          </cell>
          <cell r="T401">
            <v>325</v>
          </cell>
          <cell r="U401">
            <v>10401</v>
          </cell>
          <cell r="V401">
            <v>10215</v>
          </cell>
          <cell r="X401" t="str">
            <v>YTMWBC.AXW</v>
          </cell>
          <cell r="Y401">
            <v>10252</v>
          </cell>
          <cell r="Z401" t="str">
            <v>YTMWBC.AXW</v>
          </cell>
          <cell r="AA401">
            <v>10427</v>
          </cell>
          <cell r="AB401" t="str">
            <v>YTMWBC.AXW</v>
          </cell>
          <cell r="AC401">
            <v>35.5</v>
          </cell>
          <cell r="AD401" t="str">
            <v>YTMWBC.AXW</v>
          </cell>
          <cell r="AF401" t="str">
            <v>YTMWBC.AXW</v>
          </cell>
          <cell r="AG401">
            <v>10252</v>
          </cell>
        </row>
        <row r="402">
          <cell r="A402" t="str">
            <v>YTMWB1</v>
          </cell>
          <cell r="B402" t="str">
            <v>YTMWB1.AXW</v>
          </cell>
          <cell r="C402" t="str">
            <v>YTMWB1.AXW</v>
          </cell>
          <cell r="D402">
            <v>5</v>
          </cell>
          <cell r="E402">
            <v>32962.020000000004</v>
          </cell>
          <cell r="F402">
            <v>10386</v>
          </cell>
          <cell r="G402">
            <v>318</v>
          </cell>
          <cell r="J402" t="str">
            <v>YTMWB1.AXW</v>
          </cell>
          <cell r="K402" t="str">
            <v>YTMWB1</v>
          </cell>
          <cell r="L402">
            <v>2</v>
          </cell>
          <cell r="M402">
            <v>1038600</v>
          </cell>
          <cell r="N402">
            <v>10000</v>
          </cell>
          <cell r="O402">
            <v>42668</v>
          </cell>
          <cell r="P402" t="str">
            <v>Xtb Wb120</v>
          </cell>
          <cell r="Q402" t="str">
            <v>Xtb Theta Wb1 3.50% Jul-20</v>
          </cell>
          <cell r="R402" t="str">
            <v>Exch Traded Bond Units</v>
          </cell>
          <cell r="S402">
            <v>0</v>
          </cell>
          <cell r="T402">
            <v>350</v>
          </cell>
          <cell r="U402">
            <v>10549</v>
          </cell>
          <cell r="V402">
            <v>10284</v>
          </cell>
          <cell r="X402" t="str">
            <v>YTMWB1.AXW</v>
          </cell>
          <cell r="Y402">
            <v>10362</v>
          </cell>
          <cell r="Z402" t="str">
            <v>YTMWB1.AXW</v>
          </cell>
          <cell r="AA402">
            <v>10550</v>
          </cell>
          <cell r="AB402" t="str">
            <v>YTMWB1.AXW</v>
          </cell>
          <cell r="AC402">
            <v>101</v>
          </cell>
          <cell r="AD402" t="str">
            <v>YTMWB1.AXW</v>
          </cell>
          <cell r="AF402" t="str">
            <v>YTMWB1.AXW</v>
          </cell>
          <cell r="AG402">
            <v>10386</v>
          </cell>
        </row>
        <row r="403">
          <cell r="A403" t="str">
            <v>ZER</v>
          </cell>
          <cell r="B403" t="str">
            <v>ZER.ASX</v>
          </cell>
          <cell r="C403" t="str">
            <v>ZER.ASX</v>
          </cell>
          <cell r="D403">
            <v>31</v>
          </cell>
          <cell r="E403">
            <v>96932.15</v>
          </cell>
          <cell r="F403">
            <v>40.5</v>
          </cell>
          <cell r="G403">
            <v>246309</v>
          </cell>
          <cell r="J403" t="str">
            <v>ZER.ASX</v>
          </cell>
          <cell r="K403" t="str">
            <v>ZER</v>
          </cell>
          <cell r="L403">
            <v>2</v>
          </cell>
          <cell r="M403">
            <v>80342332.245000005</v>
          </cell>
          <cell r="N403">
            <v>198376129</v>
          </cell>
          <cell r="O403">
            <v>41437</v>
          </cell>
          <cell r="P403" t="str">
            <v>Fpo</v>
          </cell>
          <cell r="Q403" t="str">
            <v>Ordinary Fully Paid</v>
          </cell>
          <cell r="R403" t="str">
            <v>Zeta Resources Limited</v>
          </cell>
          <cell r="S403">
            <v>54</v>
          </cell>
          <cell r="U403">
            <v>42.5</v>
          </cell>
          <cell r="V403">
            <v>30</v>
          </cell>
          <cell r="X403" t="str">
            <v>ZER.ASX</v>
          </cell>
          <cell r="Y403">
            <v>38</v>
          </cell>
          <cell r="Z403" t="str">
            <v>ZER.ASX</v>
          </cell>
          <cell r="AA403">
            <v>37</v>
          </cell>
          <cell r="AB403" t="str">
            <v>ZER.ASX</v>
          </cell>
          <cell r="AC403">
            <v>40</v>
          </cell>
          <cell r="AD403" t="str">
            <v>ZER.ASX</v>
          </cell>
          <cell r="AE403">
            <v>39.231998920440674</v>
          </cell>
          <cell r="AF403" t="str">
            <v>ZER.ASX</v>
          </cell>
          <cell r="AG403">
            <v>40.5</v>
          </cell>
        </row>
        <row r="404">
          <cell r="A404" t="str">
            <v>8EC</v>
          </cell>
          <cell r="B404" t="str">
            <v>8EC.ASX</v>
          </cell>
          <cell r="C404" t="str">
            <v>8EC.ASX</v>
          </cell>
          <cell r="D404">
            <v>81</v>
          </cell>
          <cell r="E404">
            <v>611729.2699999999</v>
          </cell>
          <cell r="F404">
            <v>93</v>
          </cell>
          <cell r="G404">
            <v>650545</v>
          </cell>
          <cell r="J404" t="str">
            <v>8EC.ASX</v>
          </cell>
          <cell r="K404" t="str">
            <v>8EC</v>
          </cell>
          <cell r="L404">
            <v>2</v>
          </cell>
          <cell r="M404">
            <v>38146840.439999998</v>
          </cell>
          <cell r="N404">
            <v>41018108</v>
          </cell>
          <cell r="O404">
            <v>42339</v>
          </cell>
          <cell r="P404" t="str">
            <v>Fpo</v>
          </cell>
          <cell r="Q404" t="str">
            <v>Ordinary Fully Paid</v>
          </cell>
          <cell r="R404" t="str">
            <v>8Ip Emerging Companies Limited</v>
          </cell>
          <cell r="S404">
            <v>102</v>
          </cell>
          <cell r="T404">
            <v>3</v>
          </cell>
          <cell r="U404">
            <v>102</v>
          </cell>
          <cell r="V404">
            <v>86</v>
          </cell>
          <cell r="X404" t="str">
            <v>8EC.ASX</v>
          </cell>
          <cell r="Y404">
            <v>89.5</v>
          </cell>
          <cell r="Z404" t="str">
            <v>8EC.ASX</v>
          </cell>
          <cell r="AA404">
            <v>90</v>
          </cell>
          <cell r="AB404" t="str">
            <v>8EC.ASX</v>
          </cell>
          <cell r="AD404" t="str">
            <v>8EC.ASX</v>
          </cell>
          <cell r="AF404" t="str">
            <v>8EC.ASX</v>
          </cell>
          <cell r="AG404">
            <v>93</v>
          </cell>
        </row>
        <row r="405">
          <cell r="A405" t="str">
            <v>8IH</v>
          </cell>
          <cell r="B405" t="str">
            <v>8IH.ASX</v>
          </cell>
          <cell r="C405" t="str">
            <v>8IH.ASX</v>
          </cell>
          <cell r="D405">
            <v>28</v>
          </cell>
          <cell r="E405">
            <v>61296.154999999999</v>
          </cell>
          <cell r="F405">
            <v>12.5</v>
          </cell>
          <cell r="G405">
            <v>507439</v>
          </cell>
          <cell r="J405" t="str">
            <v>8IH.ASX</v>
          </cell>
          <cell r="K405" t="str">
            <v>8IH</v>
          </cell>
          <cell r="L405">
            <v>2</v>
          </cell>
          <cell r="M405">
            <v>47057215.530000001</v>
          </cell>
          <cell r="N405">
            <v>361978581</v>
          </cell>
          <cell r="O405">
            <v>41990</v>
          </cell>
          <cell r="P405" t="str">
            <v>Cdi 1:1</v>
          </cell>
          <cell r="Q405" t="str">
            <v>Chess Depositary Interests 1:1</v>
          </cell>
          <cell r="R405" t="str">
            <v>8I Holdings Ltd</v>
          </cell>
          <cell r="S405">
            <v>11</v>
          </cell>
          <cell r="T405">
            <v>0.23280000000000001</v>
          </cell>
          <cell r="U405">
            <v>50</v>
          </cell>
          <cell r="V405">
            <v>11.5</v>
          </cell>
          <cell r="X405" t="str">
            <v>8IH.ASX</v>
          </cell>
          <cell r="Y405">
            <v>12.5</v>
          </cell>
          <cell r="Z405" t="str">
            <v>8IH.ASX</v>
          </cell>
          <cell r="AA405">
            <v>45</v>
          </cell>
          <cell r="AB405" t="str">
            <v>8IH.ASX</v>
          </cell>
          <cell r="AC405">
            <v>86</v>
          </cell>
          <cell r="AD405" t="str">
            <v>8IH.ASX</v>
          </cell>
          <cell r="AF405" t="str">
            <v>8IH.ASX</v>
          </cell>
          <cell r="AG405">
            <v>12.5</v>
          </cell>
        </row>
        <row r="406">
          <cell r="A406" t="str">
            <v>ZCNH</v>
          </cell>
          <cell r="B406" t="str">
            <v>ZCNH.AXW</v>
          </cell>
          <cell r="C406" t="str">
            <v>ZCNH.AXW</v>
          </cell>
          <cell r="D406">
            <v>10</v>
          </cell>
          <cell r="E406">
            <v>77543.41</v>
          </cell>
          <cell r="F406">
            <v>976</v>
          </cell>
          <cell r="G406">
            <v>7973</v>
          </cell>
          <cell r="J406" t="str">
            <v>ZCNH.AXW</v>
          </cell>
          <cell r="K406" t="str">
            <v>ZCNH</v>
          </cell>
          <cell r="L406">
            <v>2</v>
          </cell>
          <cell r="M406">
            <v>494500</v>
          </cell>
          <cell r="N406">
            <v>50000</v>
          </cell>
          <cell r="O406">
            <v>42167</v>
          </cell>
          <cell r="P406" t="str">
            <v>ETF Units</v>
          </cell>
          <cell r="Q406" t="str">
            <v>Exchange Traded Fund Units Fully Paid</v>
          </cell>
          <cell r="R406" t="str">
            <v>ETFS Physical Renminbi ETF</v>
          </cell>
          <cell r="S406">
            <v>0</v>
          </cell>
          <cell r="U406">
            <v>996</v>
          </cell>
          <cell r="V406">
            <v>872</v>
          </cell>
          <cell r="X406" t="str">
            <v>ZCNH.AXW</v>
          </cell>
          <cell r="Y406">
            <v>996.00000000000011</v>
          </cell>
          <cell r="Z406" t="str">
            <v>ZCNH.AXW</v>
          </cell>
          <cell r="AA406">
            <v>914</v>
          </cell>
          <cell r="AB406" t="str">
            <v>ZCNH.AXW</v>
          </cell>
          <cell r="AC406">
            <v>988.00000000000011</v>
          </cell>
          <cell r="AD406" t="str">
            <v>ZCNH.AXW</v>
          </cell>
          <cell r="AF406" t="str">
            <v>ZCNH.AXW</v>
          </cell>
          <cell r="AG406">
            <v>976</v>
          </cell>
        </row>
        <row r="407">
          <cell r="A407" t="str">
            <v>ZGOL</v>
          </cell>
          <cell r="B407" t="str">
            <v>ZGOL.AXW</v>
          </cell>
          <cell r="C407" t="str">
            <v>ZGOL.AXW</v>
          </cell>
          <cell r="D407">
            <v>287</v>
          </cell>
          <cell r="E407">
            <v>2438117.21</v>
          </cell>
          <cell r="F407">
            <v>1676.0000000000002</v>
          </cell>
          <cell r="G407">
            <v>146048</v>
          </cell>
          <cell r="J407" t="str">
            <v>ZGOL.AXW</v>
          </cell>
          <cell r="K407" t="str">
            <v>ZGOL</v>
          </cell>
          <cell r="L407">
            <v>2</v>
          </cell>
          <cell r="M407">
            <v>13467682.359999999</v>
          </cell>
          <cell r="N407">
            <v>803561</v>
          </cell>
          <cell r="O407">
            <v>42167</v>
          </cell>
          <cell r="P407" t="str">
            <v>ETF Units</v>
          </cell>
          <cell r="Q407" t="str">
            <v>Exchange Traded Fund Units Fully Paid</v>
          </cell>
          <cell r="R407" t="str">
            <v>ETFS Physical Singapore Gold ETF</v>
          </cell>
          <cell r="S407">
            <v>0</v>
          </cell>
          <cell r="U407">
            <v>1750</v>
          </cell>
          <cell r="V407">
            <v>1546</v>
          </cell>
          <cell r="X407" t="str">
            <v>ZGOL.AXW</v>
          </cell>
          <cell r="Y407">
            <v>1707.9999999999998</v>
          </cell>
          <cell r="Z407" t="str">
            <v>ZGOL.AXW</v>
          </cell>
          <cell r="AA407">
            <v>1607.9999999999998</v>
          </cell>
          <cell r="AB407" t="str">
            <v>ZGOL.AXW</v>
          </cell>
          <cell r="AC407">
            <v>1526</v>
          </cell>
          <cell r="AD407" t="str">
            <v>ZGOL.AXW</v>
          </cell>
          <cell r="AF407" t="str">
            <v>ZGOL.AXW</v>
          </cell>
          <cell r="AG407">
            <v>1676.0000000000002</v>
          </cell>
        </row>
        <row r="408">
          <cell r="A408" t="str">
            <v>ZOZI</v>
          </cell>
          <cell r="B408" t="str">
            <v>ZOZI.AXW</v>
          </cell>
          <cell r="C408" t="str">
            <v>ZOZI.AXW</v>
          </cell>
          <cell r="D408">
            <v>16</v>
          </cell>
          <cell r="E408">
            <v>500498.93000000005</v>
          </cell>
          <cell r="F408">
            <v>1111</v>
          </cell>
          <cell r="G408">
            <v>45370</v>
          </cell>
          <cell r="J408" t="str">
            <v>ZOZI.AXW</v>
          </cell>
          <cell r="K408" t="str">
            <v>ZOZI</v>
          </cell>
          <cell r="L408">
            <v>2</v>
          </cell>
          <cell r="M408">
            <v>9477485.5500000007</v>
          </cell>
          <cell r="N408">
            <v>857691</v>
          </cell>
          <cell r="O408">
            <v>42167</v>
          </cell>
          <cell r="P408" t="str">
            <v>ETF Units</v>
          </cell>
          <cell r="Q408" t="str">
            <v>Exchange Traded Fund Units Fully Paid</v>
          </cell>
          <cell r="R408" t="str">
            <v>ETFS S&amp;P/Asx 100 ETF</v>
          </cell>
          <cell r="S408">
            <v>0</v>
          </cell>
          <cell r="T408">
            <v>37.472999999999999</v>
          </cell>
          <cell r="U408">
            <v>1113</v>
          </cell>
          <cell r="V408">
            <v>1012</v>
          </cell>
          <cell r="X408" t="str">
            <v>ZOZI.AXW</v>
          </cell>
          <cell r="Y408">
            <v>1077</v>
          </cell>
          <cell r="Z408" t="str">
            <v>ZOZI.AXW</v>
          </cell>
          <cell r="AA408">
            <v>1051</v>
          </cell>
          <cell r="AB408" t="str">
            <v>ZOZI.AXW</v>
          </cell>
          <cell r="AC408">
            <v>984</v>
          </cell>
          <cell r="AD408" t="str">
            <v>ZOZI.AXW</v>
          </cell>
          <cell r="AF408" t="str">
            <v>ZOZI.AXW</v>
          </cell>
          <cell r="AG408">
            <v>1111</v>
          </cell>
        </row>
        <row r="409">
          <cell r="A409" t="str">
            <v>ZUSD</v>
          </cell>
          <cell r="B409" t="str">
            <v>ZUSD.AXW</v>
          </cell>
          <cell r="C409" t="str">
            <v>ZUSD.AXW</v>
          </cell>
          <cell r="D409">
            <v>83</v>
          </cell>
          <cell r="E409">
            <v>2601578.7900000005</v>
          </cell>
          <cell r="F409">
            <v>1036</v>
          </cell>
          <cell r="G409">
            <v>251419</v>
          </cell>
          <cell r="J409" t="str">
            <v>ZUSD.AXW</v>
          </cell>
          <cell r="K409" t="str">
            <v>ZUSD</v>
          </cell>
          <cell r="L409">
            <v>2</v>
          </cell>
          <cell r="M409">
            <v>19869150</v>
          </cell>
          <cell r="N409">
            <v>1905000</v>
          </cell>
          <cell r="O409">
            <v>42167</v>
          </cell>
          <cell r="P409" t="str">
            <v>ETF Units</v>
          </cell>
          <cell r="Q409" t="str">
            <v>Exchange Traded Fund Units Fully Paid</v>
          </cell>
          <cell r="R409" t="str">
            <v>ETFS Physical Us Dollar ETF</v>
          </cell>
          <cell r="S409">
            <v>0</v>
          </cell>
          <cell r="T409">
            <v>5.0963000000000003</v>
          </cell>
          <cell r="U409">
            <v>1048</v>
          </cell>
          <cell r="V409">
            <v>944</v>
          </cell>
          <cell r="X409" t="str">
            <v>ZUSD.AXW</v>
          </cell>
          <cell r="Y409">
            <v>1024</v>
          </cell>
          <cell r="Z409" t="str">
            <v>ZUSD.AXW</v>
          </cell>
          <cell r="AA409">
            <v>993</v>
          </cell>
          <cell r="AB409" t="str">
            <v>ZUSD.AXW</v>
          </cell>
          <cell r="AC409">
            <v>0</v>
          </cell>
          <cell r="AD409" t="str">
            <v>ZUSD.AXW</v>
          </cell>
          <cell r="AF409" t="str">
            <v>ZUSD.AXW</v>
          </cell>
          <cell r="AG409">
            <v>1036</v>
          </cell>
        </row>
        <row r="410">
          <cell r="A410" t="str">
            <v>ZYAU</v>
          </cell>
          <cell r="B410" t="str">
            <v>ZYAU.AXW</v>
          </cell>
          <cell r="C410" t="str">
            <v>ZYAU.AXW</v>
          </cell>
          <cell r="D410">
            <v>302</v>
          </cell>
          <cell r="E410">
            <v>10583808.23</v>
          </cell>
          <cell r="F410">
            <v>1129</v>
          </cell>
          <cell r="G410">
            <v>924357</v>
          </cell>
          <cell r="J410" t="str">
            <v>ZYAU.AXW</v>
          </cell>
          <cell r="K410" t="str">
            <v>ZYAU</v>
          </cell>
          <cell r="L410">
            <v>2</v>
          </cell>
          <cell r="M410">
            <v>57250744.979999997</v>
          </cell>
          <cell r="N410">
            <v>5611958</v>
          </cell>
          <cell r="O410">
            <v>42167</v>
          </cell>
          <cell r="P410" t="str">
            <v>ETF Units</v>
          </cell>
          <cell r="Q410" t="str">
            <v>Exchange Traded Fund Units Fully Paid</v>
          </cell>
          <cell r="R410" t="str">
            <v>ETFS S&amp;P/Asx 300 High Yield Plus ETF</v>
          </cell>
          <cell r="S410">
            <v>0</v>
          </cell>
          <cell r="T410">
            <v>56.455100000000002</v>
          </cell>
          <cell r="U410">
            <v>1201</v>
          </cell>
          <cell r="V410">
            <v>1049</v>
          </cell>
          <cell r="X410" t="str">
            <v>ZYAU.AXW</v>
          </cell>
          <cell r="Y410">
            <v>1130</v>
          </cell>
          <cell r="Z410" t="str">
            <v>ZYAU.AXW</v>
          </cell>
          <cell r="AA410">
            <v>1084</v>
          </cell>
          <cell r="AB410" t="str">
            <v>ZYAU.AXW</v>
          </cell>
          <cell r="AC410">
            <v>969.99999999999989</v>
          </cell>
          <cell r="AD410" t="str">
            <v>ZYAU.AXW</v>
          </cell>
          <cell r="AF410" t="str">
            <v>ZYAU.AXW</v>
          </cell>
          <cell r="AG410">
            <v>1129</v>
          </cell>
        </row>
        <row r="411">
          <cell r="A411" t="str">
            <v>ZYUS</v>
          </cell>
          <cell r="B411" t="str">
            <v>ZYUS.AXW</v>
          </cell>
          <cell r="C411" t="str">
            <v>ZYUS.AXW</v>
          </cell>
          <cell r="D411">
            <v>150</v>
          </cell>
          <cell r="E411">
            <v>3341374.5200000005</v>
          </cell>
          <cell r="F411">
            <v>1259</v>
          </cell>
          <cell r="G411">
            <v>262888</v>
          </cell>
          <cell r="J411" t="str">
            <v>ZYUS.AXW</v>
          </cell>
          <cell r="K411" t="str">
            <v>ZYUS</v>
          </cell>
          <cell r="L411">
            <v>2</v>
          </cell>
          <cell r="M411">
            <v>52684703.520000003</v>
          </cell>
          <cell r="N411">
            <v>4094642</v>
          </cell>
          <cell r="O411">
            <v>42167</v>
          </cell>
          <cell r="P411" t="str">
            <v>ETF Units</v>
          </cell>
          <cell r="Q411" t="str">
            <v>Exchange Traded Fund Units Fully Paid</v>
          </cell>
          <cell r="R411" t="str">
            <v>ETFS S&amp;P 500 High Yield Low Volatility ETF</v>
          </cell>
          <cell r="S411">
            <v>0</v>
          </cell>
          <cell r="T411">
            <v>69.716200000000001</v>
          </cell>
          <cell r="U411">
            <v>1321</v>
          </cell>
          <cell r="V411">
            <v>1135</v>
          </cell>
          <cell r="X411" t="str">
            <v>ZYUS.AXW</v>
          </cell>
          <cell r="Y411">
            <v>1240</v>
          </cell>
          <cell r="Z411" t="str">
            <v>ZYUS.AXW</v>
          </cell>
          <cell r="AA411">
            <v>1220</v>
          </cell>
          <cell r="AB411" t="str">
            <v>ZYUS.AXW</v>
          </cell>
          <cell r="AC411">
            <v>1001</v>
          </cell>
          <cell r="AD411" t="str">
            <v>ZYUS.AXW</v>
          </cell>
          <cell r="AF411" t="str">
            <v>ZYUS.AXW</v>
          </cell>
          <cell r="AG411">
            <v>1259</v>
          </cell>
        </row>
        <row r="412">
          <cell r="A412" t="str">
            <v>MOGL</v>
          </cell>
          <cell r="B412" t="str">
            <v>MOGL.AXW</v>
          </cell>
          <cell r="C412" t="str">
            <v>MOGL.AXW</v>
          </cell>
          <cell r="D412">
            <v>229</v>
          </cell>
          <cell r="E412">
            <v>4567863.7399999993</v>
          </cell>
          <cell r="F412">
            <v>352</v>
          </cell>
          <cell r="G412">
            <v>1255242</v>
          </cell>
          <cell r="J412" t="str">
            <v>MOGL.AXW</v>
          </cell>
          <cell r="K412" t="str">
            <v>MOGL</v>
          </cell>
          <cell r="L412">
            <v>2</v>
          </cell>
          <cell r="M412">
            <v>78795466.299999997</v>
          </cell>
          <cell r="N412">
            <v>23091230</v>
          </cell>
          <cell r="O412">
            <v>43089</v>
          </cell>
          <cell r="P412" t="str">
            <v>Tmf Units</v>
          </cell>
          <cell r="Q412" t="str">
            <v>Trading Managed Units Fully Paid</v>
          </cell>
          <cell r="R412" t="str">
            <v>Montgomery Global Equities Fund (Managed Fund)</v>
          </cell>
          <cell r="S412">
            <v>0</v>
          </cell>
          <cell r="T412">
            <v>8.6</v>
          </cell>
          <cell r="U412">
            <v>375</v>
          </cell>
          <cell r="V412">
            <v>319</v>
          </cell>
          <cell r="X412" t="str">
            <v>MOGL.AXW</v>
          </cell>
          <cell r="Y412">
            <v>358</v>
          </cell>
          <cell r="Z412" t="str">
            <v>MOGL.AXW</v>
          </cell>
          <cell r="AB412" t="str">
            <v>MOGL.AXW</v>
          </cell>
          <cell r="AD412" t="str">
            <v>MOGL.AXW</v>
          </cell>
          <cell r="AF412" t="str">
            <v>MOGL.AXW</v>
          </cell>
          <cell r="AG412">
            <v>352</v>
          </cell>
        </row>
        <row r="413">
          <cell r="A413" t="str">
            <v>YTMAP1</v>
          </cell>
          <cell r="B413" t="str">
            <v>YTMAP1.AXW</v>
          </cell>
          <cell r="C413" t="str">
            <v>YTMAP1.AXW</v>
          </cell>
          <cell r="D413">
            <v>7</v>
          </cell>
          <cell r="E413">
            <v>353766.50000000006</v>
          </cell>
          <cell r="F413">
            <v>10322</v>
          </cell>
          <cell r="G413">
            <v>3443</v>
          </cell>
          <cell r="J413" t="str">
            <v>YTMAP1.AXW</v>
          </cell>
          <cell r="K413" t="str">
            <v>YTMAP1</v>
          </cell>
          <cell r="L413">
            <v>2</v>
          </cell>
          <cell r="M413">
            <v>1548300</v>
          </cell>
          <cell r="N413">
            <v>15000</v>
          </cell>
          <cell r="O413">
            <v>43083</v>
          </cell>
          <cell r="P413" t="str">
            <v>Xtb AP123</v>
          </cell>
          <cell r="Q413" t="str">
            <v>Xtb Theta AP1 3.75% Oct-23</v>
          </cell>
          <cell r="R413" t="str">
            <v>Theta(Acbc) Exch Traded Bond Units Apa Oct-23</v>
          </cell>
          <cell r="S413">
            <v>0</v>
          </cell>
          <cell r="T413">
            <v>187.5</v>
          </cell>
          <cell r="U413">
            <v>10342</v>
          </cell>
          <cell r="V413">
            <v>10250</v>
          </cell>
          <cell r="X413" t="str">
            <v>YTMAP1.AXW</v>
          </cell>
          <cell r="Y413">
            <v>10340</v>
          </cell>
          <cell r="Z413" t="str">
            <v>YTMAP1.AXW</v>
          </cell>
          <cell r="AB413" t="str">
            <v>YTMAP1.AXW</v>
          </cell>
          <cell r="AD413" t="str">
            <v>YTMAP1.AXW</v>
          </cell>
          <cell r="AF413" t="str">
            <v>YTMAP1.AXW</v>
          </cell>
          <cell r="AG413">
            <v>10322</v>
          </cell>
        </row>
        <row r="414">
          <cell r="A414" t="str">
            <v>YTMGP1</v>
          </cell>
          <cell r="B414" t="str">
            <v>YTMGP1.AXW</v>
          </cell>
          <cell r="C414" t="str">
            <v>YTMGP1.AXW</v>
          </cell>
          <cell r="D414">
            <v>26</v>
          </cell>
          <cell r="E414">
            <v>503633.29999999993</v>
          </cell>
          <cell r="F414">
            <v>10308</v>
          </cell>
          <cell r="G414">
            <v>4923</v>
          </cell>
          <cell r="J414" t="str">
            <v>YTMGP1.AXW</v>
          </cell>
          <cell r="K414" t="str">
            <v>YTMGP1</v>
          </cell>
          <cell r="L414">
            <v>2</v>
          </cell>
          <cell r="M414">
            <v>3168854</v>
          </cell>
          <cell r="N414">
            <v>30700</v>
          </cell>
          <cell r="O414">
            <v>43083</v>
          </cell>
          <cell r="P414" t="str">
            <v>Xtb Gp126</v>
          </cell>
          <cell r="Q414" t="str">
            <v>Xtb Theta Gp1 3.66% Aug-26</v>
          </cell>
          <cell r="R414" t="str">
            <v>Theta(Acbc) Exch Traded Bond Units Gpt Aug-26</v>
          </cell>
          <cell r="S414">
            <v>0</v>
          </cell>
          <cell r="T414">
            <v>365.7</v>
          </cell>
          <cell r="U414">
            <v>10348</v>
          </cell>
          <cell r="V414">
            <v>10044</v>
          </cell>
          <cell r="X414" t="str">
            <v>YTMGP1.AXW</v>
          </cell>
          <cell r="Y414">
            <v>10233</v>
          </cell>
          <cell r="Z414" t="str">
            <v>YTMGP1.AXW</v>
          </cell>
          <cell r="AB414" t="str">
            <v>YTMGP1.AXW</v>
          </cell>
          <cell r="AD414" t="str">
            <v>YTMGP1.AXW</v>
          </cell>
          <cell r="AF414" t="str">
            <v>YTMGP1.AXW</v>
          </cell>
          <cell r="AG414">
            <v>10308</v>
          </cell>
        </row>
        <row r="415">
          <cell r="A415" t="str">
            <v>YTMMG2</v>
          </cell>
          <cell r="B415" t="str">
            <v>YTMMG2.AXW</v>
          </cell>
          <cell r="C415" t="str">
            <v>YTMMG2.AXW</v>
          </cell>
          <cell r="D415">
            <v>28</v>
          </cell>
          <cell r="E415">
            <v>1053669.71</v>
          </cell>
          <cell r="F415">
            <v>10225</v>
          </cell>
          <cell r="G415">
            <v>10393</v>
          </cell>
          <cell r="J415" t="str">
            <v>YTMMG2.AXW</v>
          </cell>
          <cell r="K415" t="str">
            <v>YTMMG2</v>
          </cell>
          <cell r="L415">
            <v>2</v>
          </cell>
          <cell r="M415">
            <v>4110450</v>
          </cell>
          <cell r="N415">
            <v>40200</v>
          </cell>
          <cell r="O415">
            <v>43083</v>
          </cell>
          <cell r="P415" t="str">
            <v>Xtb Mg223</v>
          </cell>
          <cell r="Q415" t="str">
            <v>Xtb Theta Mg2 3.50% Sep-23</v>
          </cell>
          <cell r="R415" t="str">
            <v>Theta(Acbc) Exch Traded Bond Units Mgr Sep-23</v>
          </cell>
          <cell r="S415">
            <v>0</v>
          </cell>
          <cell r="T415">
            <v>350</v>
          </cell>
          <cell r="U415">
            <v>10333</v>
          </cell>
          <cell r="V415">
            <v>10072</v>
          </cell>
          <cell r="X415" t="str">
            <v>YTMMG2.AXW</v>
          </cell>
          <cell r="Y415">
            <v>10119</v>
          </cell>
          <cell r="Z415" t="str">
            <v>YTMMG2.AXW</v>
          </cell>
          <cell r="AB415" t="str">
            <v>YTMMG2.AXW</v>
          </cell>
          <cell r="AD415" t="str">
            <v>YTMMG2.AXW</v>
          </cell>
          <cell r="AF415" t="str">
            <v>YTMMG2.AXW</v>
          </cell>
          <cell r="AG415">
            <v>10225</v>
          </cell>
        </row>
        <row r="416">
          <cell r="A416" t="str">
            <v>YTMSG2</v>
          </cell>
          <cell r="B416" t="str">
            <v>YTMSG2.AXW</v>
          </cell>
          <cell r="C416" t="str">
            <v>YTMSG2.AXW</v>
          </cell>
          <cell r="D416">
            <v>9</v>
          </cell>
          <cell r="E416">
            <v>1013765.04</v>
          </cell>
          <cell r="F416">
            <v>10663</v>
          </cell>
          <cell r="G416">
            <v>9550</v>
          </cell>
          <cell r="J416" t="str">
            <v>YTMSG2.AXW</v>
          </cell>
          <cell r="K416" t="str">
            <v>YTMSG2</v>
          </cell>
          <cell r="L416">
            <v>2</v>
          </cell>
          <cell r="M416">
            <v>2406600</v>
          </cell>
          <cell r="N416">
            <v>22500</v>
          </cell>
          <cell r="O416">
            <v>43083</v>
          </cell>
          <cell r="P416" t="str">
            <v>Xtb SG222</v>
          </cell>
          <cell r="Q416" t="str">
            <v>Xtb Theta SG2 4.50% Nov-22</v>
          </cell>
          <cell r="R416" t="str">
            <v>Theta(Acbc) Exch Traded Bond Units Sgp Nov-22</v>
          </cell>
          <cell r="S416">
            <v>0</v>
          </cell>
          <cell r="T416">
            <v>450</v>
          </cell>
          <cell r="U416">
            <v>10820</v>
          </cell>
          <cell r="V416">
            <v>10563</v>
          </cell>
          <cell r="X416" t="str">
            <v>YTMSG2.AXW</v>
          </cell>
          <cell r="Y416">
            <v>10631</v>
          </cell>
          <cell r="Z416" t="str">
            <v>YTMSG2.AXW</v>
          </cell>
          <cell r="AB416" t="str">
            <v>YTMSG2.AXW</v>
          </cell>
          <cell r="AD416" t="str">
            <v>YTMSG2.AXW</v>
          </cell>
          <cell r="AF416" t="str">
            <v>YTMSG2.AXW</v>
          </cell>
          <cell r="AG416">
            <v>10663</v>
          </cell>
        </row>
        <row r="417">
          <cell r="A417" t="str">
            <v>SEC</v>
          </cell>
          <cell r="B417" t="str">
            <v>SEC.ASX</v>
          </cell>
          <cell r="C417" t="str">
            <v>SEC.ASX</v>
          </cell>
          <cell r="D417">
            <v>546</v>
          </cell>
          <cell r="E417">
            <v>3283142.3450000002</v>
          </cell>
          <cell r="F417">
            <v>194</v>
          </cell>
          <cell r="G417">
            <v>1695653</v>
          </cell>
          <cell r="J417" t="str">
            <v>SEC.ASX</v>
          </cell>
          <cell r="K417" t="str">
            <v>SEC</v>
          </cell>
          <cell r="L417">
            <v>2</v>
          </cell>
          <cell r="M417">
            <v>128694839.23999999</v>
          </cell>
          <cell r="N417">
            <v>66337546</v>
          </cell>
          <cell r="O417">
            <v>43074</v>
          </cell>
          <cell r="P417" t="str">
            <v>Fpo</v>
          </cell>
          <cell r="Q417" t="str">
            <v>Ordinary Fully Paid</v>
          </cell>
          <cell r="R417" t="str">
            <v>Spheria Emerging Companies Limited</v>
          </cell>
          <cell r="S417">
            <v>210</v>
          </cell>
          <cell r="U417">
            <v>209</v>
          </cell>
          <cell r="V417">
            <v>188</v>
          </cell>
          <cell r="X417" t="str">
            <v>SEC.ASX</v>
          </cell>
          <cell r="Y417">
            <v>192</v>
          </cell>
          <cell r="Z417" t="str">
            <v>SEC.ASX</v>
          </cell>
          <cell r="AB417" t="str">
            <v>SEC.ASX</v>
          </cell>
          <cell r="AD417" t="str">
            <v>SEC.ASX</v>
          </cell>
          <cell r="AF417" t="str">
            <v>SEC.ASX</v>
          </cell>
          <cell r="AG417">
            <v>194</v>
          </cell>
        </row>
        <row r="418">
          <cell r="A418" t="str">
            <v>RPT02</v>
          </cell>
          <cell r="B418" t="str">
            <v>RPT02.ASX</v>
          </cell>
          <cell r="C418" t="str">
            <v>RPT02.ASX</v>
          </cell>
          <cell r="D418" t="str">
            <v>0</v>
          </cell>
          <cell r="E418" t="str">
            <v>0</v>
          </cell>
          <cell r="F418">
            <v>102.21</v>
          </cell>
          <cell r="G418" t="str">
            <v>0</v>
          </cell>
          <cell r="J418" t="str">
            <v>RPT02.ASX</v>
          </cell>
          <cell r="K418" t="str">
            <v>RPT02</v>
          </cell>
          <cell r="L418">
            <v>1</v>
          </cell>
          <cell r="M418">
            <v>111000</v>
          </cell>
          <cell r="N418">
            <v>12952.7855</v>
          </cell>
          <cell r="O418">
            <v>43091</v>
          </cell>
          <cell r="P418" t="str">
            <v>Etl7683Au</v>
          </cell>
          <cell r="Q418" t="str">
            <v>Redpoint Industrials Fund</v>
          </cell>
          <cell r="R418" t="str">
            <v>Redpoint Investment Management Pty Ltd(Eqt)</v>
          </cell>
          <cell r="X418" t="str">
            <v>RPT02.ASX</v>
          </cell>
          <cell r="Y418">
            <v>99.15</v>
          </cell>
          <cell r="Z418" t="str">
            <v>RPT02.ASX</v>
          </cell>
          <cell r="AB418" t="str">
            <v>RPT02.ASX</v>
          </cell>
          <cell r="AD418" t="str">
            <v>RPT02.ASX</v>
          </cell>
          <cell r="AF418" t="str">
            <v>RPT02.ASX</v>
          </cell>
          <cell r="AG418">
            <v>102.21</v>
          </cell>
        </row>
        <row r="419">
          <cell r="A419" t="str">
            <v>DSC01</v>
          </cell>
          <cell r="B419" t="str">
            <v>DSC01.ASX</v>
          </cell>
          <cell r="C419" t="str">
            <v>DSC01.ASX</v>
          </cell>
          <cell r="D419">
            <v>24</v>
          </cell>
          <cell r="E419">
            <v>921500</v>
          </cell>
          <cell r="F419">
            <v>117.77</v>
          </cell>
          <cell r="G419">
            <v>739718.94730000012</v>
          </cell>
          <cell r="J419" t="str">
            <v>DSC01.ASX</v>
          </cell>
          <cell r="K419" t="str">
            <v>DSC01</v>
          </cell>
          <cell r="L419">
            <v>1</v>
          </cell>
          <cell r="M419">
            <v>4219170</v>
          </cell>
          <cell r="N419">
            <v>1524697.9254999999</v>
          </cell>
          <cell r="O419">
            <v>43091</v>
          </cell>
          <cell r="P419" t="str">
            <v>Etl0469Au</v>
          </cell>
          <cell r="Q419" t="str">
            <v>Dalton Street Capital Absolute Return Fund</v>
          </cell>
          <cell r="R419" t="str">
            <v>Dalton Street Capital Pty Ltd(Eqt)</v>
          </cell>
          <cell r="X419" t="str">
            <v>DSC01.ASX</v>
          </cell>
          <cell r="Y419">
            <v>123.89</v>
          </cell>
          <cell r="Z419" t="str">
            <v>DSC01.ASX</v>
          </cell>
          <cell r="AB419" t="str">
            <v>DSC01.ASX</v>
          </cell>
          <cell r="AD419" t="str">
            <v>DSC01.ASX</v>
          </cell>
          <cell r="AF419" t="str">
            <v>DSC01.ASX</v>
          </cell>
          <cell r="AG419">
            <v>117.77</v>
          </cell>
        </row>
        <row r="420">
          <cell r="A420" t="str">
            <v>BLM01</v>
          </cell>
          <cell r="B420" t="str">
            <v>BLM01.ASX</v>
          </cell>
          <cell r="C420" t="str">
            <v>BLM01.ASX</v>
          </cell>
          <cell r="D420">
            <v>1</v>
          </cell>
          <cell r="E420">
            <v>15000</v>
          </cell>
          <cell r="F420">
            <v>112.17</v>
          </cell>
          <cell r="G420">
            <v>13756.4197</v>
          </cell>
          <cell r="J420" t="str">
            <v>BLM01.ASX</v>
          </cell>
          <cell r="K420" t="str">
            <v>BLM01</v>
          </cell>
          <cell r="L420">
            <v>1</v>
          </cell>
          <cell r="M420">
            <v>0</v>
          </cell>
          <cell r="N420">
            <v>635817.51260000002</v>
          </cell>
          <cell r="O420">
            <v>43073</v>
          </cell>
          <cell r="P420" t="str">
            <v>Bpf029Au</v>
          </cell>
          <cell r="Q420" t="str">
            <v>Bell Global Emerging Companies Fund</v>
          </cell>
          <cell r="R420" t="str">
            <v>Bell Asset Management Limited (BLM)</v>
          </cell>
          <cell r="X420" t="str">
            <v>BLM01.ASX</v>
          </cell>
          <cell r="Y420">
            <v>108.84</v>
          </cell>
          <cell r="Z420" t="str">
            <v>BLM01.ASX</v>
          </cell>
          <cell r="AA420">
            <v>100.187</v>
          </cell>
          <cell r="AB420" t="str">
            <v>BLM01.ASX</v>
          </cell>
          <cell r="AC420">
            <v>108.411</v>
          </cell>
          <cell r="AD420" t="str">
            <v>BLM01.ASX</v>
          </cell>
          <cell r="AF420" t="str">
            <v>BLM01.ASX</v>
          </cell>
          <cell r="AG420">
            <v>112.17</v>
          </cell>
        </row>
        <row r="421">
          <cell r="A421" t="str">
            <v>MOR01</v>
          </cell>
          <cell r="B421" t="str">
            <v>MOR01.ASX</v>
          </cell>
          <cell r="C421" t="str">
            <v>MOR01.ASX</v>
          </cell>
          <cell r="D421">
            <v>7</v>
          </cell>
          <cell r="E421">
            <v>312000</v>
          </cell>
          <cell r="F421">
            <v>131.99</v>
          </cell>
          <cell r="G421">
            <v>236350.23430000001</v>
          </cell>
          <cell r="J421" t="str">
            <v>MOR01.ASX</v>
          </cell>
          <cell r="K421" t="str">
            <v>MOR01</v>
          </cell>
          <cell r="L421">
            <v>1</v>
          </cell>
          <cell r="M421">
            <v>3534150</v>
          </cell>
          <cell r="N421">
            <v>906387.29859999998</v>
          </cell>
          <cell r="O421">
            <v>43104</v>
          </cell>
          <cell r="P421" t="str">
            <v>Etl0030Au</v>
          </cell>
          <cell r="Q421" t="str">
            <v>Mhor Australian Small Cap Fund</v>
          </cell>
          <cell r="R421" t="str">
            <v>Mhor Asset Management Pty Ltd(Equity Trustees Limited)</v>
          </cell>
          <cell r="X421" t="str">
            <v>MOR01.ASX</v>
          </cell>
          <cell r="Y421">
            <v>130.91999999999999</v>
          </cell>
          <cell r="Z421" t="str">
            <v>MOR01.ASX</v>
          </cell>
          <cell r="AA421">
            <v>97.96</v>
          </cell>
          <cell r="AB421" t="str">
            <v>MOR01.ASX</v>
          </cell>
          <cell r="AC421">
            <v>100.065</v>
          </cell>
          <cell r="AD421" t="str">
            <v>MOR01.ASX</v>
          </cell>
          <cell r="AF421" t="str">
            <v>MOR01.ASX</v>
          </cell>
          <cell r="AG421">
            <v>131.99</v>
          </cell>
        </row>
        <row r="422">
          <cell r="A422" t="str">
            <v>NCE01</v>
          </cell>
          <cell r="B422" t="str">
            <v>NCE01.ASX</v>
          </cell>
          <cell r="C422" t="str">
            <v>NCE01.ASX</v>
          </cell>
          <cell r="D422" t="str">
            <v>0</v>
          </cell>
          <cell r="E422" t="str">
            <v>0</v>
          </cell>
          <cell r="F422">
            <v>100.31699999999999</v>
          </cell>
          <cell r="G422" t="str">
            <v>0</v>
          </cell>
          <cell r="J422" t="str">
            <v>NCE01.ASX</v>
          </cell>
          <cell r="K422" t="str">
            <v>NCE01</v>
          </cell>
          <cell r="L422">
            <v>1</v>
          </cell>
          <cell r="M422">
            <v>0</v>
          </cell>
          <cell r="N422">
            <v>0</v>
          </cell>
          <cell r="O422">
            <v>43122</v>
          </cell>
          <cell r="P422" t="str">
            <v>Etl5779Au</v>
          </cell>
          <cell r="Q422" t="str">
            <v>New Capital China Equity Fund</v>
          </cell>
          <cell r="R422" t="str">
            <v>Rubik Financial Limited</v>
          </cell>
          <cell r="X422" t="str">
            <v>NCE01.ASX</v>
          </cell>
          <cell r="Y422">
            <v>97.918999999999997</v>
          </cell>
          <cell r="Z422" t="str">
            <v>NCE01.ASX</v>
          </cell>
          <cell r="AA422">
            <v>104.206</v>
          </cell>
          <cell r="AB422" t="str">
            <v>NCE01.ASX</v>
          </cell>
          <cell r="AC422">
            <v>109.366</v>
          </cell>
          <cell r="AD422" t="str">
            <v>NCE01.ASX</v>
          </cell>
          <cell r="AF422" t="str">
            <v>NCE01.ASX</v>
          </cell>
          <cell r="AG422">
            <v>100.31699999999999</v>
          </cell>
        </row>
        <row r="423">
          <cell r="A423" t="str">
            <v>ACA01</v>
          </cell>
          <cell r="B423" t="str">
            <v>ACA01.ASX</v>
          </cell>
          <cell r="C423" t="str">
            <v>ACA01.ASX</v>
          </cell>
          <cell r="D423">
            <v>8</v>
          </cell>
          <cell r="E423">
            <v>72218.73</v>
          </cell>
          <cell r="F423">
            <v>96.566999999999993</v>
          </cell>
          <cell r="G423">
            <v>76614.049999999988</v>
          </cell>
          <cell r="J423" t="str">
            <v>ACA01.ASX</v>
          </cell>
          <cell r="K423" t="str">
            <v>ACA01</v>
          </cell>
          <cell r="L423">
            <v>1</v>
          </cell>
          <cell r="M423">
            <v>909450</v>
          </cell>
          <cell r="N423">
            <v>1042864.9</v>
          </cell>
          <cell r="O423">
            <v>41981</v>
          </cell>
          <cell r="P423" t="str">
            <v>Amp9025Au</v>
          </cell>
          <cell r="Q423" t="str">
            <v>Amp Capital Equity Income Generator</v>
          </cell>
          <cell r="R423" t="str">
            <v>Amp Capital Funds Management Limited</v>
          </cell>
          <cell r="T423">
            <v>4.6909999999999998</v>
          </cell>
          <cell r="X423" t="str">
            <v>ACA01.ASX</v>
          </cell>
          <cell r="Y423">
            <v>94.009</v>
          </cell>
          <cell r="Z423" t="str">
            <v>ACA01.ASX</v>
          </cell>
          <cell r="AA423">
            <v>96.385999999999996</v>
          </cell>
          <cell r="AB423" t="str">
            <v>ACA01.ASX</v>
          </cell>
          <cell r="AC423">
            <v>102.429</v>
          </cell>
          <cell r="AD423" t="str">
            <v>ACA01.ASX</v>
          </cell>
          <cell r="AF423" t="str">
            <v>ACA01.ASX</v>
          </cell>
          <cell r="AG423">
            <v>96.566999999999993</v>
          </cell>
        </row>
        <row r="424">
          <cell r="A424" t="str">
            <v>ACA02</v>
          </cell>
          <cell r="B424" t="str">
            <v>ACA02.ASX</v>
          </cell>
          <cell r="C424" t="str">
            <v>ACA02.ASX</v>
          </cell>
          <cell r="D424">
            <v>29</v>
          </cell>
          <cell r="E424">
            <v>750124.95</v>
          </cell>
          <cell r="F424">
            <v>96.869</v>
          </cell>
          <cell r="G424">
            <v>773028.91000000015</v>
          </cell>
          <cell r="J424" t="str">
            <v>ACA02.ASX</v>
          </cell>
          <cell r="K424" t="str">
            <v>ACA02</v>
          </cell>
          <cell r="L424">
            <v>1</v>
          </cell>
          <cell r="M424">
            <v>11411510</v>
          </cell>
          <cell r="N424">
            <v>11554444.869999999</v>
          </cell>
          <cell r="O424">
            <v>41981</v>
          </cell>
          <cell r="P424" t="str">
            <v>Amp9024Au</v>
          </cell>
          <cell r="Q424" t="str">
            <v>Amp Capital Corporate Bond Fund</v>
          </cell>
          <cell r="R424" t="str">
            <v>Amp Capital Funds Management Limited</v>
          </cell>
          <cell r="T424">
            <v>2.8249999999999997</v>
          </cell>
          <cell r="X424" t="str">
            <v>ACA02.ASX</v>
          </cell>
          <cell r="Y424">
            <v>96.975999999999999</v>
          </cell>
          <cell r="Z424" t="str">
            <v>ACA02.ASX</v>
          </cell>
          <cell r="AA424">
            <v>97.912000000000006</v>
          </cell>
          <cell r="AB424" t="str">
            <v>ACA02.ASX</v>
          </cell>
          <cell r="AC424">
            <v>99.447000000000003</v>
          </cell>
          <cell r="AD424" t="str">
            <v>ACA02.ASX</v>
          </cell>
          <cell r="AF424" t="str">
            <v>ACA02.ASX</v>
          </cell>
          <cell r="AG424">
            <v>96.869</v>
          </cell>
        </row>
        <row r="425">
          <cell r="A425" t="str">
            <v>ACA03</v>
          </cell>
          <cell r="B425" t="str">
            <v>ACA03.ASX</v>
          </cell>
          <cell r="C425" t="str">
            <v>ACA03.ASX</v>
          </cell>
          <cell r="D425">
            <v>7</v>
          </cell>
          <cell r="E425">
            <v>236281.05</v>
          </cell>
          <cell r="F425">
            <v>106.209</v>
          </cell>
          <cell r="G425">
            <v>234807.02</v>
          </cell>
          <cell r="J425" t="str">
            <v>ACA03.ASX</v>
          </cell>
          <cell r="K425" t="str">
            <v>ACA03</v>
          </cell>
          <cell r="L425">
            <v>1</v>
          </cell>
          <cell r="M425">
            <v>2961360</v>
          </cell>
          <cell r="N425">
            <v>2857976.14</v>
          </cell>
          <cell r="O425">
            <v>41981</v>
          </cell>
          <cell r="P425" t="str">
            <v>Amp9027Au</v>
          </cell>
          <cell r="Q425" t="str">
            <v>Amp Capital Global Infrastructure Securities Fund</v>
          </cell>
          <cell r="R425" t="str">
            <v>Amp Capital Funds Management Limited</v>
          </cell>
          <cell r="T425">
            <v>1.3959999999999999</v>
          </cell>
          <cell r="X425" t="str">
            <v>ACA03.ASX</v>
          </cell>
          <cell r="Y425">
            <v>100.209</v>
          </cell>
          <cell r="Z425" t="str">
            <v>ACA03.ASX</v>
          </cell>
          <cell r="AA425">
            <v>102.898</v>
          </cell>
          <cell r="AB425" t="str">
            <v>ACA03.ASX</v>
          </cell>
          <cell r="AC425">
            <v>107.31100000000001</v>
          </cell>
          <cell r="AD425" t="str">
            <v>ACA03.ASX</v>
          </cell>
          <cell r="AF425" t="str">
            <v>ACA03.ASX</v>
          </cell>
          <cell r="AG425">
            <v>106.209</v>
          </cell>
        </row>
        <row r="426">
          <cell r="A426" t="str">
            <v>ACA04</v>
          </cell>
          <cell r="B426" t="str">
            <v>ACA04.ASX</v>
          </cell>
          <cell r="C426" t="str">
            <v>ACA04.ASX</v>
          </cell>
          <cell r="D426">
            <v>4</v>
          </cell>
          <cell r="E426">
            <v>84564.340000000011</v>
          </cell>
          <cell r="F426">
            <v>111.34099999999999</v>
          </cell>
          <cell r="G426">
            <v>76306.570000000007</v>
          </cell>
          <cell r="J426" t="str">
            <v>ACA04.ASX</v>
          </cell>
          <cell r="K426" t="str">
            <v>ACA04</v>
          </cell>
          <cell r="L426">
            <v>1</v>
          </cell>
          <cell r="M426">
            <v>3323850</v>
          </cell>
          <cell r="N426">
            <v>3007564.97</v>
          </cell>
          <cell r="O426">
            <v>41981</v>
          </cell>
          <cell r="P426" t="str">
            <v>Amp9026Au</v>
          </cell>
          <cell r="Q426" t="str">
            <v>Amp Capital Global Property Securities Fund</v>
          </cell>
          <cell r="R426" t="str">
            <v>Amp Capital Funds Management Limited</v>
          </cell>
          <cell r="T426">
            <v>1.4650000000000001</v>
          </cell>
          <cell r="X426" t="str">
            <v>ACA04.ASX</v>
          </cell>
          <cell r="Y426">
            <v>109.364</v>
          </cell>
          <cell r="Z426" t="str">
            <v>ACA04.ASX</v>
          </cell>
          <cell r="AA426">
            <v>108.485</v>
          </cell>
          <cell r="AB426" t="str">
            <v>ACA04.ASX</v>
          </cell>
          <cell r="AC426">
            <v>100.598</v>
          </cell>
          <cell r="AD426" t="str">
            <v>ACA04.ASX</v>
          </cell>
          <cell r="AF426" t="str">
            <v>ACA04.ASX</v>
          </cell>
          <cell r="AG426">
            <v>111.34099999999999</v>
          </cell>
        </row>
        <row r="427">
          <cell r="A427" t="str">
            <v>ACA05</v>
          </cell>
          <cell r="B427" t="str">
            <v>ACA05.ASX</v>
          </cell>
          <cell r="C427" t="str">
            <v>ACA05.ASX</v>
          </cell>
          <cell r="D427">
            <v>18</v>
          </cell>
          <cell r="E427">
            <v>1177442.56</v>
          </cell>
          <cell r="F427">
            <v>109.608</v>
          </cell>
          <cell r="G427">
            <v>1071053.02</v>
          </cell>
          <cell r="J427" t="str">
            <v>ACA05.ASX</v>
          </cell>
          <cell r="K427" t="str">
            <v>ACA05</v>
          </cell>
          <cell r="L427">
            <v>1</v>
          </cell>
          <cell r="M427">
            <v>8065600</v>
          </cell>
          <cell r="N427">
            <v>8248399.5700000003</v>
          </cell>
          <cell r="O427">
            <v>41981</v>
          </cell>
          <cell r="P427" t="str">
            <v>Amp9028Au</v>
          </cell>
          <cell r="Q427" t="str">
            <v>Amp Capital Multi-Asset Fund</v>
          </cell>
          <cell r="R427" t="str">
            <v>Amp Capital Funds Management Limited</v>
          </cell>
          <cell r="T427">
            <v>0.96699999999999997</v>
          </cell>
          <cell r="X427" t="str">
            <v>ACA05.ASX</v>
          </cell>
          <cell r="Y427">
            <v>109.815</v>
          </cell>
          <cell r="Z427" t="str">
            <v>ACA05.ASX</v>
          </cell>
          <cell r="AA427">
            <v>108.876</v>
          </cell>
          <cell r="AB427" t="str">
            <v>ACA05.ASX</v>
          </cell>
          <cell r="AC427">
            <v>102.502</v>
          </cell>
          <cell r="AD427" t="str">
            <v>ACA05.ASX</v>
          </cell>
          <cell r="AF427" t="str">
            <v>ACA05.ASX</v>
          </cell>
          <cell r="AG427">
            <v>109.608</v>
          </cell>
        </row>
        <row r="428">
          <cell r="A428" t="str">
            <v>ACC01</v>
          </cell>
          <cell r="B428" t="str">
            <v>ACC01.ASX</v>
          </cell>
          <cell r="C428" t="str">
            <v>ACC01.ASX</v>
          </cell>
          <cell r="D428" t="str">
            <v>0</v>
          </cell>
          <cell r="E428" t="str">
            <v>0</v>
          </cell>
          <cell r="F428">
            <v>117.94</v>
          </cell>
          <cell r="G428" t="str">
            <v>0</v>
          </cell>
          <cell r="J428" t="str">
            <v>ACC01.ASX</v>
          </cell>
          <cell r="K428" t="str">
            <v>ACC01</v>
          </cell>
          <cell r="L428">
            <v>1</v>
          </cell>
          <cell r="M428">
            <v>1917050</v>
          </cell>
          <cell r="N428">
            <v>1640323.97</v>
          </cell>
          <cell r="O428">
            <v>41981</v>
          </cell>
          <cell r="P428" t="str">
            <v>Ipa0174Au</v>
          </cell>
          <cell r="Q428" t="str">
            <v>Amp Capital Income Generator</v>
          </cell>
          <cell r="R428" t="str">
            <v>Ipac Asset Management Limited</v>
          </cell>
          <cell r="T428">
            <v>4.2480479999999998</v>
          </cell>
          <cell r="X428" t="str">
            <v>ACC01.ASX</v>
          </cell>
          <cell r="Y428">
            <v>116.71</v>
          </cell>
          <cell r="Z428" t="str">
            <v>ACC01.ASX</v>
          </cell>
          <cell r="AA428">
            <v>118.42</v>
          </cell>
          <cell r="AB428" t="str">
            <v>ACC01.ASX</v>
          </cell>
          <cell r="AC428">
            <v>116.79</v>
          </cell>
          <cell r="AD428" t="str">
            <v>ACC01.ASX</v>
          </cell>
          <cell r="AF428" t="str">
            <v>ACC01.ASX</v>
          </cell>
          <cell r="AG428">
            <v>117.94</v>
          </cell>
        </row>
        <row r="429">
          <cell r="A429" t="str">
            <v>ACY01</v>
          </cell>
          <cell r="B429" t="str">
            <v>ACY01.ASX</v>
          </cell>
          <cell r="C429" t="str">
            <v>ACY01.ASX</v>
          </cell>
          <cell r="D429">
            <v>2</v>
          </cell>
          <cell r="E429">
            <v>182807.49</v>
          </cell>
          <cell r="F429">
            <v>85.83</v>
          </cell>
          <cell r="G429">
            <v>219536.8486</v>
          </cell>
          <cell r="J429" t="str">
            <v>ACY01.ASX</v>
          </cell>
          <cell r="K429" t="str">
            <v>ACY01</v>
          </cell>
          <cell r="L429">
            <v>1</v>
          </cell>
          <cell r="M429">
            <v>27970000</v>
          </cell>
          <cell r="N429">
            <v>1071881.236</v>
          </cell>
          <cell r="O429">
            <v>41766</v>
          </cell>
          <cell r="P429" t="str">
            <v>Etl0148Au</v>
          </cell>
          <cell r="Q429" t="str">
            <v>Armytage Australian Equity Income Fund</v>
          </cell>
          <cell r="R429" t="str">
            <v>Armytage Australia (Equity Trustees Limited)</v>
          </cell>
          <cell r="S429">
            <v>0</v>
          </cell>
          <cell r="T429">
            <v>3</v>
          </cell>
          <cell r="X429" t="str">
            <v>ACY01.ASX</v>
          </cell>
          <cell r="Y429">
            <v>82.96</v>
          </cell>
          <cell r="Z429" t="str">
            <v>ACY01.ASX</v>
          </cell>
          <cell r="AA429">
            <v>81.11</v>
          </cell>
          <cell r="AB429" t="str">
            <v>ACY01.ASX</v>
          </cell>
          <cell r="AC429">
            <v>81.040000000000006</v>
          </cell>
          <cell r="AD429" t="str">
            <v>ACY01.ASX</v>
          </cell>
          <cell r="AF429" t="str">
            <v>ACY01.ASX</v>
          </cell>
          <cell r="AG429">
            <v>85.83</v>
          </cell>
        </row>
        <row r="430">
          <cell r="A430" t="str">
            <v>ACY02</v>
          </cell>
          <cell r="B430" t="str">
            <v>ACY02.ASX</v>
          </cell>
          <cell r="C430" t="str">
            <v>ACY02.ASX</v>
          </cell>
          <cell r="D430">
            <v>4</v>
          </cell>
          <cell r="E430">
            <v>194026.78</v>
          </cell>
          <cell r="F430">
            <v>63.87</v>
          </cell>
          <cell r="G430">
            <v>306593.0846</v>
          </cell>
          <cell r="J430" t="str">
            <v>ACY02.ASX</v>
          </cell>
          <cell r="K430" t="str">
            <v>ACY02</v>
          </cell>
          <cell r="L430">
            <v>1</v>
          </cell>
          <cell r="M430">
            <v>23070000</v>
          </cell>
          <cell r="N430">
            <v>728088.35919999995</v>
          </cell>
          <cell r="O430">
            <v>41766</v>
          </cell>
          <cell r="P430" t="str">
            <v>Etl0139Au</v>
          </cell>
          <cell r="Q430" t="str">
            <v>Armytage Strategic Opportunities Fund (Wholesale)</v>
          </cell>
          <cell r="R430" t="str">
            <v>Armytage Australia (Equity Trustees Limited)</v>
          </cell>
          <cell r="S430">
            <v>0</v>
          </cell>
          <cell r="T430">
            <v>2</v>
          </cell>
          <cell r="X430" t="str">
            <v>ACY02.ASX</v>
          </cell>
          <cell r="Y430">
            <v>62.26</v>
          </cell>
          <cell r="Z430" t="str">
            <v>ACY02.ASX</v>
          </cell>
          <cell r="AA430">
            <v>59.18</v>
          </cell>
          <cell r="AB430" t="str">
            <v>ACY02.ASX</v>
          </cell>
          <cell r="AC430">
            <v>58.84</v>
          </cell>
          <cell r="AD430" t="str">
            <v>ACY02.ASX</v>
          </cell>
          <cell r="AF430" t="str">
            <v>ACY02.ASX</v>
          </cell>
          <cell r="AG430">
            <v>63.87</v>
          </cell>
        </row>
        <row r="431">
          <cell r="A431" t="str">
            <v>AET01</v>
          </cell>
          <cell r="B431" t="str">
            <v>AET01.ASX</v>
          </cell>
          <cell r="C431" t="str">
            <v>AET01.ASX</v>
          </cell>
          <cell r="D431">
            <v>1</v>
          </cell>
          <cell r="E431">
            <v>12000</v>
          </cell>
          <cell r="F431">
            <v>169.4281</v>
          </cell>
          <cell r="G431">
            <v>7162.0411999999997</v>
          </cell>
          <cell r="J431" t="str">
            <v>AET01.ASX</v>
          </cell>
          <cell r="K431" t="str">
            <v>AET01</v>
          </cell>
          <cell r="L431">
            <v>1</v>
          </cell>
          <cell r="M431">
            <v>34498580</v>
          </cell>
          <cell r="N431">
            <v>302416.56270000001</v>
          </cell>
          <cell r="O431">
            <v>42193</v>
          </cell>
          <cell r="P431" t="str">
            <v>Aug0020Au</v>
          </cell>
          <cell r="Q431" t="str">
            <v>Australian Ethical Advocacy Fund (Wholesale)</v>
          </cell>
          <cell r="R431" t="str">
            <v>Australian Ethical Investment Ltd</v>
          </cell>
          <cell r="T431">
            <v>1.1632895570999999</v>
          </cell>
          <cell r="X431" t="str">
            <v>AET01.ASX</v>
          </cell>
          <cell r="Y431">
            <v>165.65100000000001</v>
          </cell>
          <cell r="Z431" t="str">
            <v>AET01.ASX</v>
          </cell>
          <cell r="AA431">
            <v>156.75810000000001</v>
          </cell>
          <cell r="AB431" t="str">
            <v>AET01.ASX</v>
          </cell>
          <cell r="AC431">
            <v>100.271</v>
          </cell>
          <cell r="AD431" t="str">
            <v>AET01.ASX</v>
          </cell>
          <cell r="AF431" t="str">
            <v>AET01.ASX</v>
          </cell>
          <cell r="AG431">
            <v>169.4281</v>
          </cell>
        </row>
        <row r="432">
          <cell r="A432" t="str">
            <v>AET02</v>
          </cell>
          <cell r="B432" t="str">
            <v>AET02.ASX</v>
          </cell>
          <cell r="C432" t="str">
            <v>AET02.ASX</v>
          </cell>
          <cell r="D432" t="str">
            <v>0</v>
          </cell>
          <cell r="E432" t="str">
            <v>0</v>
          </cell>
          <cell r="F432">
            <v>104.86839999999999</v>
          </cell>
          <cell r="G432" t="str">
            <v>0</v>
          </cell>
          <cell r="J432" t="str">
            <v>AET02.ASX</v>
          </cell>
          <cell r="K432" t="str">
            <v>AET02</v>
          </cell>
          <cell r="L432">
            <v>1</v>
          </cell>
          <cell r="M432">
            <v>14430420</v>
          </cell>
          <cell r="N432">
            <v>256659.2971</v>
          </cell>
          <cell r="O432">
            <v>42193</v>
          </cell>
          <cell r="P432" t="str">
            <v>Aug0023Au</v>
          </cell>
          <cell r="Q432" t="str">
            <v>Australian Ethical Fixed Interest Fund (Wholesale)</v>
          </cell>
          <cell r="R432" t="str">
            <v>Australian Ethical Investment Ltd</v>
          </cell>
          <cell r="T432">
            <v>1.3102306313000001</v>
          </cell>
          <cell r="X432" t="str">
            <v>AET02.ASX</v>
          </cell>
          <cell r="Y432">
            <v>104.51309999999999</v>
          </cell>
          <cell r="Z432" t="str">
            <v>AET02.ASX</v>
          </cell>
          <cell r="AA432">
            <v>104.9866</v>
          </cell>
          <cell r="AB432" t="str">
            <v>AET02.ASX</v>
          </cell>
          <cell r="AC432">
            <v>100.819</v>
          </cell>
          <cell r="AD432" t="str">
            <v>AET02.ASX</v>
          </cell>
          <cell r="AF432" t="str">
            <v>AET02.ASX</v>
          </cell>
          <cell r="AG432">
            <v>104.86839999999999</v>
          </cell>
        </row>
        <row r="433">
          <cell r="A433" t="str">
            <v>AET03</v>
          </cell>
          <cell r="B433" t="str">
            <v>AET03.ASX</v>
          </cell>
          <cell r="C433" t="str">
            <v>AET03.ASX</v>
          </cell>
          <cell r="D433">
            <v>6</v>
          </cell>
          <cell r="E433">
            <v>198000</v>
          </cell>
          <cell r="F433">
            <v>121.67319999999999</v>
          </cell>
          <cell r="G433">
            <v>161208.13780000003</v>
          </cell>
          <cell r="J433" t="str">
            <v>AET03.ASX</v>
          </cell>
          <cell r="K433" t="str">
            <v>AET03</v>
          </cell>
          <cell r="L433">
            <v>1</v>
          </cell>
          <cell r="M433">
            <v>56732740</v>
          </cell>
          <cell r="N433">
            <v>1898682.4368</v>
          </cell>
          <cell r="O433">
            <v>42193</v>
          </cell>
          <cell r="P433" t="str">
            <v>Aug0025Au</v>
          </cell>
          <cell r="Q433" t="str">
            <v>Australian Ethical International Shares Fund (W)</v>
          </cell>
          <cell r="R433" t="str">
            <v>Australian Ethical Investment Ltd</v>
          </cell>
          <cell r="X433" t="str">
            <v>AET03.ASX</v>
          </cell>
          <cell r="Y433">
            <v>119.935</v>
          </cell>
          <cell r="Z433" t="str">
            <v>AET03.ASX</v>
          </cell>
          <cell r="AA433">
            <v>117.5911</v>
          </cell>
          <cell r="AB433" t="str">
            <v>AET03.ASX</v>
          </cell>
          <cell r="AC433">
            <v>100.60299999999999</v>
          </cell>
          <cell r="AD433" t="str">
            <v>AET03.ASX</v>
          </cell>
          <cell r="AF433" t="str">
            <v>AET03.ASX</v>
          </cell>
          <cell r="AG433">
            <v>121.67319999999999</v>
          </cell>
        </row>
        <row r="434">
          <cell r="A434" t="str">
            <v>AET04</v>
          </cell>
          <cell r="B434" t="str">
            <v>AET04.ASX</v>
          </cell>
          <cell r="C434" t="str">
            <v>AET04.ASX</v>
          </cell>
          <cell r="D434">
            <v>5</v>
          </cell>
          <cell r="E434">
            <v>271970</v>
          </cell>
          <cell r="F434">
            <v>251.66319999999999</v>
          </cell>
          <cell r="G434">
            <v>108824.41339999999</v>
          </cell>
          <cell r="J434" t="str">
            <v>AET04.ASX</v>
          </cell>
          <cell r="K434" t="str">
            <v>AET04</v>
          </cell>
          <cell r="L434">
            <v>1</v>
          </cell>
          <cell r="M434">
            <v>207294480</v>
          </cell>
          <cell r="N434">
            <v>1940773.3387</v>
          </cell>
          <cell r="O434">
            <v>42193</v>
          </cell>
          <cell r="P434" t="str">
            <v>Aug0018Au</v>
          </cell>
          <cell r="Q434" t="str">
            <v>Australian Ethical Australian Shares Fund (W)</v>
          </cell>
          <cell r="R434" t="str">
            <v>Australian Ethical Investment Ltd</v>
          </cell>
          <cell r="T434">
            <v>2.8966166910000002</v>
          </cell>
          <cell r="X434" t="str">
            <v>AET04.ASX</v>
          </cell>
          <cell r="Y434">
            <v>246.5179</v>
          </cell>
          <cell r="Z434" t="str">
            <v>AET04.ASX</v>
          </cell>
          <cell r="AA434">
            <v>243.26660000000001</v>
          </cell>
          <cell r="AB434" t="str">
            <v>AET04.ASX</v>
          </cell>
          <cell r="AC434">
            <v>100.33499999999999</v>
          </cell>
          <cell r="AD434" t="str">
            <v>AET04.ASX</v>
          </cell>
          <cell r="AF434" t="str">
            <v>AET04.ASX</v>
          </cell>
          <cell r="AG434">
            <v>251.66319999999999</v>
          </cell>
        </row>
        <row r="435">
          <cell r="A435" t="str">
            <v>AET05</v>
          </cell>
          <cell r="B435" t="str">
            <v>AET05.ASX</v>
          </cell>
          <cell r="C435" t="str">
            <v>AET05.ASX</v>
          </cell>
          <cell r="D435" t="str">
            <v>0</v>
          </cell>
          <cell r="E435" t="str">
            <v>0</v>
          </cell>
          <cell r="F435">
            <v>266.89159999999998</v>
          </cell>
          <cell r="G435" t="str">
            <v>0</v>
          </cell>
          <cell r="J435" t="str">
            <v>AET05.ASX</v>
          </cell>
          <cell r="K435" t="str">
            <v>AET05</v>
          </cell>
          <cell r="L435">
            <v>1</v>
          </cell>
          <cell r="M435">
            <v>100525880</v>
          </cell>
          <cell r="N435">
            <v>367358.59340000001</v>
          </cell>
          <cell r="O435">
            <v>42193</v>
          </cell>
          <cell r="P435" t="str">
            <v>Aug0019Au</v>
          </cell>
          <cell r="Q435" t="str">
            <v>Australian Ethical Diversifed Shares Fund (W)</v>
          </cell>
          <cell r="R435" t="str">
            <v>Australian Ethical Investment Ltd</v>
          </cell>
          <cell r="T435">
            <v>1.7953155790999999</v>
          </cell>
          <cell r="X435" t="str">
            <v>AET05.ASX</v>
          </cell>
          <cell r="Y435">
            <v>260.93290000000002</v>
          </cell>
          <cell r="Z435" t="str">
            <v>AET05.ASX</v>
          </cell>
          <cell r="AA435">
            <v>246.85990000000001</v>
          </cell>
          <cell r="AB435" t="str">
            <v>AET05.ASX</v>
          </cell>
          <cell r="AC435">
            <v>115.86</v>
          </cell>
          <cell r="AD435" t="str">
            <v>AET05.ASX</v>
          </cell>
          <cell r="AF435" t="str">
            <v>AET05.ASX</v>
          </cell>
          <cell r="AG435">
            <v>266.89159999999998</v>
          </cell>
        </row>
        <row r="436">
          <cell r="A436" t="str">
            <v>AET06</v>
          </cell>
          <cell r="B436" t="str">
            <v>AET06.ASX</v>
          </cell>
          <cell r="C436" t="str">
            <v>AET06.ASX</v>
          </cell>
          <cell r="D436" t="str">
            <v>0</v>
          </cell>
          <cell r="E436" t="str">
            <v>0</v>
          </cell>
          <cell r="F436">
            <v>99.592100000000002</v>
          </cell>
          <cell r="G436" t="str">
            <v>0</v>
          </cell>
          <cell r="J436" t="str">
            <v>AET06.ASX</v>
          </cell>
          <cell r="K436" t="str">
            <v>AET06</v>
          </cell>
          <cell r="L436">
            <v>1</v>
          </cell>
          <cell r="M436">
            <v>6912210</v>
          </cell>
          <cell r="N436">
            <v>171432.75030000001</v>
          </cell>
          <cell r="O436">
            <v>42193</v>
          </cell>
          <cell r="P436" t="str">
            <v>Aug0024Au</v>
          </cell>
          <cell r="Q436" t="str">
            <v>Australian Ethical Cash Fund (Wholesale)</v>
          </cell>
          <cell r="R436" t="str">
            <v>Australian Ethical Investment Ltd</v>
          </cell>
          <cell r="T436">
            <v>0.76950991290000004</v>
          </cell>
          <cell r="X436" t="str">
            <v>AET06.ASX</v>
          </cell>
          <cell r="Y436">
            <v>99.434799999999996</v>
          </cell>
          <cell r="Z436" t="str">
            <v>AET06.ASX</v>
          </cell>
          <cell r="AA436">
            <v>99.1374</v>
          </cell>
          <cell r="AB436" t="str">
            <v>AET06.ASX</v>
          </cell>
          <cell r="AC436">
            <v>288.82</v>
          </cell>
          <cell r="AD436" t="str">
            <v>AET06.ASX</v>
          </cell>
          <cell r="AF436" t="str">
            <v>AET06.ASX</v>
          </cell>
          <cell r="AG436">
            <v>99.592100000000002</v>
          </cell>
        </row>
        <row r="437">
          <cell r="A437" t="str">
            <v>AET07</v>
          </cell>
          <cell r="B437" t="str">
            <v>AET07.ASX</v>
          </cell>
          <cell r="C437" t="str">
            <v>AET07.ASX</v>
          </cell>
          <cell r="D437">
            <v>3</v>
          </cell>
          <cell r="E437">
            <v>80000</v>
          </cell>
          <cell r="F437">
            <v>136.6285</v>
          </cell>
          <cell r="G437">
            <v>58917.550600000002</v>
          </cell>
          <cell r="J437" t="str">
            <v>AET07.ASX</v>
          </cell>
          <cell r="K437" t="str">
            <v>AET07</v>
          </cell>
          <cell r="L437">
            <v>1</v>
          </cell>
          <cell r="M437">
            <v>37609800</v>
          </cell>
          <cell r="N437">
            <v>1021518.0851</v>
          </cell>
          <cell r="O437">
            <v>42193</v>
          </cell>
          <cell r="P437" t="str">
            <v>Aug0027Au</v>
          </cell>
          <cell r="Q437" t="str">
            <v>Australian Ethical Emerging Companies Fund (W)</v>
          </cell>
          <cell r="R437" t="str">
            <v>Australian Ethical Investment Ltd</v>
          </cell>
          <cell r="X437" t="str">
            <v>AET07.ASX</v>
          </cell>
          <cell r="Y437">
            <v>133.9693</v>
          </cell>
          <cell r="Z437" t="str">
            <v>AET07.ASX</v>
          </cell>
          <cell r="AA437">
            <v>124.532</v>
          </cell>
          <cell r="AB437" t="str">
            <v>AET07.ASX</v>
          </cell>
          <cell r="AC437">
            <v>244.47</v>
          </cell>
          <cell r="AD437" t="str">
            <v>AET07.ASX</v>
          </cell>
          <cell r="AF437" t="str">
            <v>AET07.ASX</v>
          </cell>
          <cell r="AG437">
            <v>136.6285</v>
          </cell>
        </row>
        <row r="438">
          <cell r="A438" t="str">
            <v>AET08</v>
          </cell>
          <cell r="B438" t="str">
            <v>AET08.ASX</v>
          </cell>
          <cell r="C438" t="str">
            <v>AET08.ASX</v>
          </cell>
          <cell r="D438">
            <v>4</v>
          </cell>
          <cell r="E438">
            <v>146000</v>
          </cell>
          <cell r="F438">
            <v>161.89240000000001</v>
          </cell>
          <cell r="G438">
            <v>90895.0435</v>
          </cell>
          <cell r="J438" t="str">
            <v>AET08.ASX</v>
          </cell>
          <cell r="K438" t="str">
            <v>AET08</v>
          </cell>
          <cell r="L438">
            <v>1</v>
          </cell>
          <cell r="M438">
            <v>1083642430</v>
          </cell>
          <cell r="N438">
            <v>165720.88589999999</v>
          </cell>
          <cell r="O438">
            <v>43201</v>
          </cell>
          <cell r="P438" t="str">
            <v>Aug0017Au</v>
          </cell>
          <cell r="Q438" t="str">
            <v>Australian Ethical Balanced Fund</v>
          </cell>
          <cell r="R438" t="str">
            <v>Australian Ethical Investment Ltd</v>
          </cell>
          <cell r="X438" t="str">
            <v>AET08.ASX</v>
          </cell>
          <cell r="Y438">
            <v>159.4297</v>
          </cell>
          <cell r="Z438" t="str">
            <v>AET08.ASX</v>
          </cell>
          <cell r="AA438">
            <v>91.68</v>
          </cell>
          <cell r="AB438" t="str">
            <v>AET08.ASX</v>
          </cell>
          <cell r="AC438">
            <v>125.59</v>
          </cell>
          <cell r="AD438" t="str">
            <v>AET08.ASX</v>
          </cell>
          <cell r="AF438" t="str">
            <v>AET08.ASX</v>
          </cell>
          <cell r="AG438">
            <v>161.89240000000001</v>
          </cell>
        </row>
        <row r="439">
          <cell r="A439" t="str">
            <v>AFM01</v>
          </cell>
          <cell r="B439" t="str">
            <v>AFM01.ASX</v>
          </cell>
          <cell r="C439" t="str">
            <v>AFM01.ASX</v>
          </cell>
          <cell r="D439" t="str">
            <v>0</v>
          </cell>
          <cell r="E439" t="str">
            <v>0</v>
          </cell>
          <cell r="F439">
            <v>244.09</v>
          </cell>
          <cell r="G439" t="str">
            <v>0</v>
          </cell>
          <cell r="J439" t="str">
            <v>AFM01.ASX</v>
          </cell>
          <cell r="K439" t="str">
            <v>AFM01</v>
          </cell>
          <cell r="L439">
            <v>1</v>
          </cell>
          <cell r="M439">
            <v>0</v>
          </cell>
          <cell r="N439">
            <v>940202.06</v>
          </cell>
          <cell r="O439">
            <v>42912</v>
          </cell>
          <cell r="P439" t="str">
            <v>Omf9290Au</v>
          </cell>
          <cell r="Q439" t="str">
            <v>Atlas High Income Property Fund</v>
          </cell>
          <cell r="R439" t="str">
            <v>Atlas Funds Management (One Managed Investment Funds Limited</v>
          </cell>
          <cell r="T439">
            <v>14.473000086100001</v>
          </cell>
          <cell r="X439" t="str">
            <v>AFM01.ASX</v>
          </cell>
          <cell r="Y439">
            <v>240.19</v>
          </cell>
          <cell r="Z439" t="str">
            <v>AFM01.ASX</v>
          </cell>
          <cell r="AA439">
            <v>246.7</v>
          </cell>
          <cell r="AB439" t="str">
            <v>AFM01.ASX</v>
          </cell>
          <cell r="AC439">
            <v>302.42</v>
          </cell>
          <cell r="AD439" t="str">
            <v>AFM01.ASX</v>
          </cell>
          <cell r="AF439" t="str">
            <v>AFM01.ASX</v>
          </cell>
          <cell r="AG439">
            <v>244.09</v>
          </cell>
        </row>
        <row r="440">
          <cell r="A440" t="str">
            <v>AFZ01</v>
          </cell>
          <cell r="B440" t="str">
            <v>AFZ01.ASX</v>
          </cell>
          <cell r="C440" t="str">
            <v>AFZ01.ASX</v>
          </cell>
          <cell r="D440">
            <v>1</v>
          </cell>
          <cell r="E440">
            <v>25123.39</v>
          </cell>
          <cell r="F440">
            <v>237.83</v>
          </cell>
          <cell r="G440">
            <v>10545.853370000001</v>
          </cell>
          <cell r="J440" t="str">
            <v>AFZ01.ASX</v>
          </cell>
          <cell r="K440" t="str">
            <v>AFZ01</v>
          </cell>
          <cell r="L440">
            <v>1</v>
          </cell>
          <cell r="M440">
            <v>354466050</v>
          </cell>
          <cell r="N440">
            <v>839064.97522000002</v>
          </cell>
          <cell r="O440">
            <v>41883</v>
          </cell>
          <cell r="P440" t="str">
            <v>Eqi0028Au</v>
          </cell>
          <cell r="Q440" t="str">
            <v>Aberdeen Asian Opportunities Fund</v>
          </cell>
          <cell r="R440" t="str">
            <v>Aberdeen Asset Management Limited</v>
          </cell>
          <cell r="X440" t="str">
            <v>AFZ01.ASX</v>
          </cell>
          <cell r="Y440">
            <v>240.95</v>
          </cell>
          <cell r="Z440" t="str">
            <v>AFZ01.ASX</v>
          </cell>
          <cell r="AA440">
            <v>232.35</v>
          </cell>
          <cell r="AB440" t="str">
            <v>AFZ01.ASX</v>
          </cell>
          <cell r="AC440">
            <v>278.77</v>
          </cell>
          <cell r="AD440" t="str">
            <v>AFZ01.ASX</v>
          </cell>
          <cell r="AF440" t="str">
            <v>AFZ01.ASX</v>
          </cell>
          <cell r="AG440">
            <v>237.83</v>
          </cell>
        </row>
        <row r="441">
          <cell r="A441" t="str">
            <v>AFZ03</v>
          </cell>
          <cell r="B441" t="str">
            <v>AFZ03.ASX</v>
          </cell>
          <cell r="C441" t="str">
            <v>AFZ03.ASX</v>
          </cell>
          <cell r="D441">
            <v>11</v>
          </cell>
          <cell r="E441">
            <v>414376.87</v>
          </cell>
          <cell r="F441">
            <v>236.24</v>
          </cell>
          <cell r="G441">
            <v>171168.44586799998</v>
          </cell>
          <cell r="J441" t="str">
            <v>AFZ03.ASX</v>
          </cell>
          <cell r="K441" t="str">
            <v>AFZ03</v>
          </cell>
          <cell r="L441">
            <v>1</v>
          </cell>
          <cell r="M441">
            <v>1141230520</v>
          </cell>
          <cell r="N441">
            <v>2232571.6366809998</v>
          </cell>
          <cell r="O441">
            <v>41883</v>
          </cell>
          <cell r="P441" t="str">
            <v>Etl0032Au</v>
          </cell>
          <cell r="Q441" t="str">
            <v>Aberdeen Emerging Opportunities Fund</v>
          </cell>
          <cell r="R441" t="str">
            <v>Aberdeen Asset Management Limited</v>
          </cell>
          <cell r="X441" t="str">
            <v>AFZ03.ASX</v>
          </cell>
          <cell r="Y441">
            <v>240.52</v>
          </cell>
          <cell r="Z441" t="str">
            <v>AFZ03.ASX</v>
          </cell>
          <cell r="AA441">
            <v>241.33</v>
          </cell>
          <cell r="AB441" t="str">
            <v>AFZ03.ASX</v>
          </cell>
          <cell r="AC441">
            <v>238.13</v>
          </cell>
          <cell r="AD441" t="str">
            <v>AFZ03.ASX</v>
          </cell>
          <cell r="AF441" t="str">
            <v>AFZ03.ASX</v>
          </cell>
          <cell r="AG441">
            <v>236.24</v>
          </cell>
        </row>
        <row r="442">
          <cell r="A442" t="str">
            <v>AFZ04</v>
          </cell>
          <cell r="B442" t="str">
            <v>AFZ04.ASX</v>
          </cell>
          <cell r="C442" t="str">
            <v>AFZ04.ASX</v>
          </cell>
          <cell r="D442">
            <v>1</v>
          </cell>
          <cell r="E442">
            <v>54421.29</v>
          </cell>
          <cell r="F442">
            <v>78.87</v>
          </cell>
          <cell r="G442">
            <v>70402.703464000006</v>
          </cell>
          <cell r="J442" t="str">
            <v>AFZ04.ASX</v>
          </cell>
          <cell r="K442" t="str">
            <v>AFZ04</v>
          </cell>
          <cell r="L442">
            <v>1</v>
          </cell>
          <cell r="M442">
            <v>111999420</v>
          </cell>
          <cell r="N442">
            <v>1226645.35513</v>
          </cell>
          <cell r="O442">
            <v>41883</v>
          </cell>
          <cell r="P442" t="str">
            <v>Eqi0015Au</v>
          </cell>
          <cell r="Q442" t="str">
            <v>Aberdeen International Equity Fund</v>
          </cell>
          <cell r="R442" t="str">
            <v>Aberdeen Asset Management Limited</v>
          </cell>
          <cell r="X442" t="str">
            <v>AFZ04.ASX</v>
          </cell>
          <cell r="Y442">
            <v>77.41</v>
          </cell>
          <cell r="Z442" t="str">
            <v>AFZ04.ASX</v>
          </cell>
          <cell r="AA442">
            <v>92.96</v>
          </cell>
          <cell r="AB442" t="str">
            <v>AFZ04.ASX</v>
          </cell>
          <cell r="AC442">
            <v>122.42</v>
          </cell>
          <cell r="AD442" t="str">
            <v>AFZ04.ASX</v>
          </cell>
          <cell r="AF442" t="str">
            <v>AFZ04.ASX</v>
          </cell>
          <cell r="AG442">
            <v>78.87</v>
          </cell>
        </row>
        <row r="443">
          <cell r="A443" t="str">
            <v>AFZ18</v>
          </cell>
          <cell r="B443" t="str">
            <v>AFZ18.ASX</v>
          </cell>
          <cell r="C443" t="str">
            <v>AFZ18.ASX</v>
          </cell>
          <cell r="D443" t="str">
            <v>0</v>
          </cell>
          <cell r="E443" t="str">
            <v>0</v>
          </cell>
          <cell r="F443">
            <v>331.97</v>
          </cell>
          <cell r="G443" t="str">
            <v>0</v>
          </cell>
          <cell r="J443" t="str">
            <v>AFZ18.ASX</v>
          </cell>
          <cell r="K443" t="str">
            <v>AFZ18</v>
          </cell>
          <cell r="L443">
            <v>1</v>
          </cell>
          <cell r="M443">
            <v>615743070</v>
          </cell>
          <cell r="N443">
            <v>375044.73</v>
          </cell>
          <cell r="O443">
            <v>41995</v>
          </cell>
          <cell r="P443" t="str">
            <v>Crs0005Au</v>
          </cell>
          <cell r="Q443" t="str">
            <v>Aberdeen Actively Hedged Int Equites Fund</v>
          </cell>
          <cell r="R443" t="str">
            <v>Aberdeen Asset Management Limited</v>
          </cell>
          <cell r="X443" t="str">
            <v>AFZ18.ASX</v>
          </cell>
          <cell r="Y443">
            <v>326.05</v>
          </cell>
          <cell r="Z443" t="str">
            <v>AFZ18.ASX</v>
          </cell>
          <cell r="AA443">
            <v>308.72000000000003</v>
          </cell>
          <cell r="AB443" t="str">
            <v>AFZ18.ASX</v>
          </cell>
          <cell r="AC443">
            <v>294.94</v>
          </cell>
          <cell r="AD443" t="str">
            <v>AFZ18.ASX</v>
          </cell>
          <cell r="AF443" t="str">
            <v>AFZ18.ASX</v>
          </cell>
          <cell r="AG443">
            <v>331.97</v>
          </cell>
        </row>
        <row r="444">
          <cell r="A444" t="str">
            <v>AFZ19</v>
          </cell>
          <cell r="B444" t="str">
            <v>AFZ19.ASX</v>
          </cell>
          <cell r="C444" t="str">
            <v>AFZ19.ASX</v>
          </cell>
          <cell r="D444">
            <v>3</v>
          </cell>
          <cell r="E444">
            <v>140000</v>
          </cell>
          <cell r="F444">
            <v>414.4</v>
          </cell>
          <cell r="G444">
            <v>34348.619999999995</v>
          </cell>
          <cell r="J444" t="str">
            <v>AFZ19.ASX</v>
          </cell>
          <cell r="K444" t="str">
            <v>AFZ19</v>
          </cell>
          <cell r="L444">
            <v>1</v>
          </cell>
          <cell r="M444">
            <v>68873470</v>
          </cell>
          <cell r="N444">
            <v>340093.36</v>
          </cell>
          <cell r="O444">
            <v>41995</v>
          </cell>
          <cell r="P444" t="str">
            <v>Crs0003Au</v>
          </cell>
          <cell r="Q444" t="str">
            <v>Aberdeen Ex-20 Australian Equities Fund</v>
          </cell>
          <cell r="R444" t="str">
            <v>Aberdeen Asset Management Limited</v>
          </cell>
          <cell r="T444">
            <v>4.13</v>
          </cell>
          <cell r="X444" t="str">
            <v>AFZ19.ASX</v>
          </cell>
          <cell r="Y444">
            <v>402.56</v>
          </cell>
          <cell r="Z444" t="str">
            <v>AFZ19.ASX</v>
          </cell>
          <cell r="AA444">
            <v>392.05</v>
          </cell>
          <cell r="AB444" t="str">
            <v>AFZ19.ASX</v>
          </cell>
          <cell r="AC444">
            <v>316.72000000000003</v>
          </cell>
          <cell r="AD444" t="str">
            <v>AFZ19.ASX</v>
          </cell>
          <cell r="AF444" t="str">
            <v>AFZ19.ASX</v>
          </cell>
          <cell r="AG444">
            <v>414.4</v>
          </cell>
        </row>
        <row r="445">
          <cell r="A445" t="str">
            <v>AFZ20</v>
          </cell>
          <cell r="B445" t="str">
            <v>AFZ20.ASX</v>
          </cell>
          <cell r="C445" t="str">
            <v>AFZ20.ASX</v>
          </cell>
          <cell r="D445">
            <v>9</v>
          </cell>
          <cell r="E445">
            <v>235830.53</v>
          </cell>
          <cell r="F445">
            <v>331.72</v>
          </cell>
          <cell r="G445">
            <v>70676.679999999993</v>
          </cell>
          <cell r="J445" t="str">
            <v>AFZ20.ASX</v>
          </cell>
          <cell r="K445" t="str">
            <v>AFZ20</v>
          </cell>
          <cell r="L445">
            <v>1</v>
          </cell>
          <cell r="M445">
            <v>323932510</v>
          </cell>
          <cell r="N445">
            <v>1937170.71</v>
          </cell>
          <cell r="O445">
            <v>41995</v>
          </cell>
          <cell r="P445" t="str">
            <v>Csa0131Au</v>
          </cell>
          <cell r="Q445" t="str">
            <v>Aberdeen Australian Small Companies Fund</v>
          </cell>
          <cell r="R445" t="str">
            <v>Aberdeen Asset Management Limited</v>
          </cell>
          <cell r="T445">
            <v>2.54</v>
          </cell>
          <cell r="X445" t="str">
            <v>AFZ20.ASX</v>
          </cell>
          <cell r="Y445">
            <v>325.61</v>
          </cell>
          <cell r="Z445" t="str">
            <v>AFZ20.ASX</v>
          </cell>
          <cell r="AA445">
            <v>313.77</v>
          </cell>
          <cell r="AB445" t="str">
            <v>AFZ20.ASX</v>
          </cell>
          <cell r="AC445">
            <v>247.33</v>
          </cell>
          <cell r="AD445" t="str">
            <v>AFZ20.ASX</v>
          </cell>
          <cell r="AF445" t="str">
            <v>AFZ20.ASX</v>
          </cell>
          <cell r="AG445">
            <v>331.72</v>
          </cell>
        </row>
        <row r="446">
          <cell r="A446" t="str">
            <v>AFZ21</v>
          </cell>
          <cell r="B446" t="str">
            <v>AFZ21.ASX</v>
          </cell>
          <cell r="C446" t="str">
            <v>AFZ21.ASX</v>
          </cell>
          <cell r="D446">
            <v>2</v>
          </cell>
          <cell r="E446">
            <v>133122.53</v>
          </cell>
          <cell r="F446">
            <v>116.44</v>
          </cell>
          <cell r="G446">
            <v>114727.97</v>
          </cell>
          <cell r="J446" t="str">
            <v>AFZ21.ASX</v>
          </cell>
          <cell r="K446" t="str">
            <v>AFZ21</v>
          </cell>
          <cell r="L446">
            <v>1</v>
          </cell>
          <cell r="M446">
            <v>301110110</v>
          </cell>
          <cell r="N446">
            <v>1480088.47</v>
          </cell>
          <cell r="O446">
            <v>41995</v>
          </cell>
          <cell r="P446" t="str">
            <v>Crs0004Au</v>
          </cell>
          <cell r="Q446" t="str">
            <v>Aberdeen Australian Fixed Income Fund</v>
          </cell>
          <cell r="R446" t="str">
            <v>Aberdeen Asset Management Limited</v>
          </cell>
          <cell r="T446">
            <v>1.1499999999999999</v>
          </cell>
          <cell r="X446" t="str">
            <v>AFZ21.ASX</v>
          </cell>
          <cell r="Y446">
            <v>116.1</v>
          </cell>
          <cell r="Z446" t="str">
            <v>AFZ21.ASX</v>
          </cell>
          <cell r="AA446">
            <v>114.88</v>
          </cell>
          <cell r="AB446" t="str">
            <v>AFZ21.ASX</v>
          </cell>
          <cell r="AC446">
            <v>116.8</v>
          </cell>
          <cell r="AD446" t="str">
            <v>AFZ21.ASX</v>
          </cell>
          <cell r="AF446" t="str">
            <v>AFZ21.ASX</v>
          </cell>
          <cell r="AG446">
            <v>116.44</v>
          </cell>
        </row>
        <row r="447">
          <cell r="A447" t="str">
            <v>AFZ29</v>
          </cell>
          <cell r="B447" t="str">
            <v>AFZ29.ASX</v>
          </cell>
          <cell r="C447" t="str">
            <v>AFZ29.ASX</v>
          </cell>
          <cell r="D447">
            <v>2</v>
          </cell>
          <cell r="E447">
            <v>40903.19</v>
          </cell>
          <cell r="F447">
            <v>94.58</v>
          </cell>
          <cell r="G447">
            <v>43321.440000000002</v>
          </cell>
          <cell r="J447" t="str">
            <v>AFZ29.ASX</v>
          </cell>
          <cell r="K447" t="str">
            <v>AFZ29</v>
          </cell>
          <cell r="L447">
            <v>1</v>
          </cell>
          <cell r="M447">
            <v>27610300</v>
          </cell>
          <cell r="N447">
            <v>801974.84</v>
          </cell>
          <cell r="O447">
            <v>41883</v>
          </cell>
          <cell r="P447" t="str">
            <v>Csa0062Au</v>
          </cell>
          <cell r="Q447" t="str">
            <v>Aberdeen Diversified Fixed Income Fund</v>
          </cell>
          <cell r="R447" t="str">
            <v>Aberdeen Asset Management Limited</v>
          </cell>
          <cell r="X447" t="str">
            <v>AFZ29.ASX</v>
          </cell>
          <cell r="Y447">
            <v>94.54</v>
          </cell>
          <cell r="Z447" t="str">
            <v>AFZ29.ASX</v>
          </cell>
          <cell r="AA447">
            <v>92.48</v>
          </cell>
          <cell r="AB447" t="str">
            <v>AFZ29.ASX</v>
          </cell>
          <cell r="AC447">
            <v>100.65</v>
          </cell>
          <cell r="AD447" t="str">
            <v>AFZ29.ASX</v>
          </cell>
          <cell r="AF447" t="str">
            <v>AFZ29.ASX</v>
          </cell>
          <cell r="AG447">
            <v>94.58</v>
          </cell>
        </row>
        <row r="448">
          <cell r="A448" t="str">
            <v>AFZ30</v>
          </cell>
          <cell r="B448" t="str">
            <v>AFZ30.ASX</v>
          </cell>
          <cell r="C448" t="str">
            <v>AFZ30.ASX</v>
          </cell>
          <cell r="D448" t="str">
            <v>0</v>
          </cell>
          <cell r="E448" t="str">
            <v>0</v>
          </cell>
          <cell r="F448">
            <v>51.93</v>
          </cell>
          <cell r="G448" t="str">
            <v>0</v>
          </cell>
          <cell r="J448" t="str">
            <v>AFZ30.ASX</v>
          </cell>
          <cell r="K448" t="str">
            <v>AFZ30</v>
          </cell>
          <cell r="L448">
            <v>1</v>
          </cell>
          <cell r="M448">
            <v>23889300</v>
          </cell>
          <cell r="N448">
            <v>959460.77</v>
          </cell>
          <cell r="O448">
            <v>41883</v>
          </cell>
          <cell r="P448" t="str">
            <v>Csa0135Au</v>
          </cell>
          <cell r="Q448" t="str">
            <v>Aberdeen Fully Hedged International Equities Fund</v>
          </cell>
          <cell r="R448" t="str">
            <v>Aberdeen Asset Management Limited</v>
          </cell>
          <cell r="X448" t="str">
            <v>AFZ30.ASX</v>
          </cell>
          <cell r="Y448">
            <v>52.03</v>
          </cell>
          <cell r="Z448" t="str">
            <v>AFZ30.ASX</v>
          </cell>
          <cell r="AA448">
            <v>49.28</v>
          </cell>
          <cell r="AB448" t="str">
            <v>AFZ30.ASX</v>
          </cell>
          <cell r="AC448">
            <v>42.51</v>
          </cell>
          <cell r="AD448" t="str">
            <v>AFZ30.ASX</v>
          </cell>
          <cell r="AF448" t="str">
            <v>AFZ30.ASX</v>
          </cell>
          <cell r="AG448">
            <v>51.93</v>
          </cell>
        </row>
        <row r="449">
          <cell r="A449" t="str">
            <v>AFZ16</v>
          </cell>
          <cell r="B449" t="str">
            <v>AFZ16.ASX</v>
          </cell>
          <cell r="C449" t="str">
            <v>AFZ16.ASX</v>
          </cell>
          <cell r="D449">
            <v>4</v>
          </cell>
          <cell r="E449">
            <v>65284.549999999996</v>
          </cell>
          <cell r="F449">
            <v>105.59</v>
          </cell>
          <cell r="G449">
            <v>62597.760000000002</v>
          </cell>
          <cell r="J449" t="str">
            <v>AFZ16.ASX</v>
          </cell>
          <cell r="K449" t="str">
            <v>AFZ16</v>
          </cell>
          <cell r="L449">
            <v>1</v>
          </cell>
          <cell r="M449">
            <v>128988210.00000001</v>
          </cell>
          <cell r="N449">
            <v>346888.08</v>
          </cell>
          <cell r="O449">
            <v>42828</v>
          </cell>
          <cell r="P449" t="str">
            <v>Crs0001Au</v>
          </cell>
          <cell r="Q449" t="str">
            <v>Aberdeen Multi-Asset Income Fund</v>
          </cell>
          <cell r="R449" t="str">
            <v>Aberdeen Asset Management Limited</v>
          </cell>
          <cell r="T449">
            <v>3.5199999999999996</v>
          </cell>
          <cell r="X449" t="str">
            <v>AFZ16.ASX</v>
          </cell>
          <cell r="Y449">
            <v>104.81</v>
          </cell>
          <cell r="Z449" t="str">
            <v>AFZ16.ASX</v>
          </cell>
          <cell r="AA449">
            <v>108.37</v>
          </cell>
          <cell r="AB449" t="str">
            <v>AFZ16.ASX</v>
          </cell>
          <cell r="AC449">
            <v>117.04</v>
          </cell>
          <cell r="AD449" t="str">
            <v>AFZ16.ASX</v>
          </cell>
          <cell r="AF449" t="str">
            <v>AFZ16.ASX</v>
          </cell>
          <cell r="AG449">
            <v>105.59</v>
          </cell>
        </row>
        <row r="450">
          <cell r="A450" t="str">
            <v>AFZ32</v>
          </cell>
          <cell r="B450" t="str">
            <v>AFZ32.ASX</v>
          </cell>
          <cell r="C450" t="str">
            <v>AFZ32.ASX</v>
          </cell>
          <cell r="D450" t="str">
            <v>0</v>
          </cell>
          <cell r="E450" t="str">
            <v>0</v>
          </cell>
          <cell r="F450">
            <v>185.65</v>
          </cell>
          <cell r="G450" t="str">
            <v>0</v>
          </cell>
          <cell r="J450" t="str">
            <v>AFZ32.ASX</v>
          </cell>
          <cell r="K450" t="str">
            <v>AFZ32</v>
          </cell>
          <cell r="L450">
            <v>1</v>
          </cell>
          <cell r="M450">
            <v>96914780</v>
          </cell>
          <cell r="N450">
            <v>961033.92</v>
          </cell>
          <cell r="O450">
            <v>42828</v>
          </cell>
          <cell r="P450" t="str">
            <v>Crs0002Au</v>
          </cell>
          <cell r="Q450" t="str">
            <v>Aberdeen Multi-Asset Real Return Fund</v>
          </cell>
          <cell r="R450" t="str">
            <v>Aberdeen Asset Management Limited</v>
          </cell>
          <cell r="X450" t="str">
            <v>AFZ32.ASX</v>
          </cell>
          <cell r="Y450">
            <v>184.6</v>
          </cell>
          <cell r="Z450" t="str">
            <v>AFZ32.ASX</v>
          </cell>
          <cell r="AA450">
            <v>189.62</v>
          </cell>
          <cell r="AB450" t="str">
            <v>AFZ32.ASX</v>
          </cell>
          <cell r="AC450">
            <v>253.93</v>
          </cell>
          <cell r="AD450" t="str">
            <v>AFZ32.ASX</v>
          </cell>
          <cell r="AF450" t="str">
            <v>AFZ32.ASX</v>
          </cell>
          <cell r="AG450">
            <v>185.65</v>
          </cell>
        </row>
        <row r="451">
          <cell r="A451" t="str">
            <v>AFZ25</v>
          </cell>
          <cell r="B451" t="str">
            <v>AFZ25.ASX</v>
          </cell>
          <cell r="C451" t="str">
            <v>AFZ25.ASX</v>
          </cell>
          <cell r="D451" t="str">
            <v>0</v>
          </cell>
          <cell r="E451" t="str">
            <v>0</v>
          </cell>
          <cell r="F451">
            <v>101.65</v>
          </cell>
          <cell r="G451" t="str">
            <v>0</v>
          </cell>
          <cell r="J451" t="str">
            <v>AFZ25.ASX</v>
          </cell>
          <cell r="K451" t="str">
            <v>AFZ25</v>
          </cell>
          <cell r="L451">
            <v>1</v>
          </cell>
          <cell r="M451">
            <v>70468820</v>
          </cell>
          <cell r="N451">
            <v>249796.22</v>
          </cell>
          <cell r="O451">
            <v>42838</v>
          </cell>
          <cell r="P451" t="str">
            <v>Csa0130Au</v>
          </cell>
          <cell r="Q451" t="str">
            <v>Aberdeen Active Index Income Fund</v>
          </cell>
          <cell r="R451" t="str">
            <v>Aberdeen Asset Management Limited</v>
          </cell>
          <cell r="T451">
            <v>2.2999999999999998</v>
          </cell>
          <cell r="X451" t="str">
            <v>AFZ25.ASX</v>
          </cell>
          <cell r="Y451">
            <v>101.48</v>
          </cell>
          <cell r="Z451" t="str">
            <v>AFZ25.ASX</v>
          </cell>
          <cell r="AA451">
            <v>101.02</v>
          </cell>
          <cell r="AB451" t="str">
            <v>AFZ25.ASX</v>
          </cell>
          <cell r="AC451">
            <v>281.85000000000002</v>
          </cell>
          <cell r="AD451" t="str">
            <v>AFZ25.ASX</v>
          </cell>
          <cell r="AF451" t="str">
            <v>AFZ25.ASX</v>
          </cell>
          <cell r="AG451">
            <v>101.65</v>
          </cell>
        </row>
        <row r="452">
          <cell r="A452" t="str">
            <v>AGA01</v>
          </cell>
          <cell r="B452" t="str">
            <v>AGA01.ASX</v>
          </cell>
          <cell r="C452" t="str">
            <v>AGA01.ASX</v>
          </cell>
          <cell r="D452" t="str">
            <v>0</v>
          </cell>
          <cell r="E452" t="str">
            <v>0</v>
          </cell>
          <cell r="F452">
            <v>160.30080000000001</v>
          </cell>
          <cell r="G452" t="str">
            <v>0</v>
          </cell>
          <cell r="J452" t="str">
            <v>AGA01.ASX</v>
          </cell>
          <cell r="K452" t="str">
            <v>AGA01</v>
          </cell>
          <cell r="L452">
            <v>1</v>
          </cell>
          <cell r="M452">
            <v>306760000</v>
          </cell>
          <cell r="N452">
            <v>268194.30359999998</v>
          </cell>
          <cell r="O452">
            <v>42359</v>
          </cell>
          <cell r="P452" t="str">
            <v>Ant0005Au</v>
          </cell>
          <cell r="Q452" t="str">
            <v>Altrinsic Global Equities Trust</v>
          </cell>
          <cell r="R452" t="str">
            <v>Antares Capital Partners Ltd (Altrinsic)</v>
          </cell>
          <cell r="T452">
            <v>1.5687972886999999</v>
          </cell>
          <cell r="X452" t="str">
            <v>AGA01.ASX</v>
          </cell>
          <cell r="Y452">
            <v>157.1223</v>
          </cell>
          <cell r="Z452" t="str">
            <v>AGA01.ASX</v>
          </cell>
          <cell r="AA452">
            <v>156.71</v>
          </cell>
          <cell r="AB452" t="str">
            <v>AGA01.ASX</v>
          </cell>
          <cell r="AC452">
            <v>303.37</v>
          </cell>
          <cell r="AD452" t="str">
            <v>AGA01.ASX</v>
          </cell>
          <cell r="AF452" t="str">
            <v>AGA01.ASX</v>
          </cell>
          <cell r="AG452">
            <v>160.30080000000001</v>
          </cell>
        </row>
        <row r="453">
          <cell r="A453" t="str">
            <v>AGP01</v>
          </cell>
          <cell r="B453" t="str">
            <v>AGP01.ASX</v>
          </cell>
          <cell r="C453" t="str">
            <v>AGP01.ASX</v>
          </cell>
          <cell r="D453">
            <v>8</v>
          </cell>
          <cell r="E453">
            <v>379390.42999999993</v>
          </cell>
          <cell r="F453">
            <v>125.91</v>
          </cell>
          <cell r="G453">
            <v>300488.85399999999</v>
          </cell>
          <cell r="J453" t="str">
            <v>AGP01.ASX</v>
          </cell>
          <cell r="K453" t="str">
            <v>AGP01</v>
          </cell>
          <cell r="L453">
            <v>1</v>
          </cell>
          <cell r="M453">
            <v>207124480</v>
          </cell>
          <cell r="N453">
            <v>4360916.2142000003</v>
          </cell>
          <cell r="O453">
            <v>42310</v>
          </cell>
          <cell r="P453" t="str">
            <v>Wht0057Au</v>
          </cell>
          <cell r="Q453" t="str">
            <v>Antipodes Global Fund - Long Only (Class P)</v>
          </cell>
          <cell r="R453" t="str">
            <v>Pinnacle Fund Services Limited (Antipodes)</v>
          </cell>
          <cell r="X453" t="str">
            <v>AGP01.ASX</v>
          </cell>
          <cell r="Y453">
            <v>122.76</v>
          </cell>
          <cell r="Z453" t="str">
            <v>AGP01.ASX</v>
          </cell>
          <cell r="AA453">
            <v>107.15</v>
          </cell>
          <cell r="AB453" t="str">
            <v>AGP01.ASX</v>
          </cell>
          <cell r="AC453">
            <v>238.68</v>
          </cell>
          <cell r="AD453" t="str">
            <v>AGP01.ASX</v>
          </cell>
          <cell r="AF453" t="str">
            <v>AGP01.ASX</v>
          </cell>
          <cell r="AG453">
            <v>125.91</v>
          </cell>
        </row>
        <row r="454">
          <cell r="A454" t="str">
            <v>AGP02</v>
          </cell>
          <cell r="B454" t="str">
            <v>AGP02.ASX</v>
          </cell>
          <cell r="C454" t="str">
            <v>AGP02.ASX</v>
          </cell>
          <cell r="D454">
            <v>22</v>
          </cell>
          <cell r="E454">
            <v>782176.97</v>
          </cell>
          <cell r="F454">
            <v>180.65</v>
          </cell>
          <cell r="G454">
            <v>431469.538</v>
          </cell>
          <cell r="J454" t="str">
            <v>AGP02.ASX</v>
          </cell>
          <cell r="K454" t="str">
            <v>AGP02</v>
          </cell>
          <cell r="L454">
            <v>1</v>
          </cell>
          <cell r="M454">
            <v>3081423630</v>
          </cell>
          <cell r="N454">
            <v>3558023.8108999999</v>
          </cell>
          <cell r="O454">
            <v>43007</v>
          </cell>
          <cell r="P454" t="str">
            <v>Iof0045Au</v>
          </cell>
          <cell r="Q454" t="str">
            <v>Antipodes Global Fund (Class P)</v>
          </cell>
          <cell r="R454" t="str">
            <v>Pinnacle Fund Services Limited (Antipodes)</v>
          </cell>
          <cell r="X454" t="str">
            <v>AGP02.ASX</v>
          </cell>
          <cell r="Y454">
            <v>175.59</v>
          </cell>
          <cell r="Z454" t="str">
            <v>AGP02.ASX</v>
          </cell>
          <cell r="AA454">
            <v>101.7316</v>
          </cell>
          <cell r="AB454" t="str">
            <v>AGP02.ASX</v>
          </cell>
          <cell r="AC454">
            <v>119.22</v>
          </cell>
          <cell r="AD454" t="str">
            <v>AGP02.ASX</v>
          </cell>
          <cell r="AF454" t="str">
            <v>AGP02.ASX</v>
          </cell>
          <cell r="AG454">
            <v>180.65</v>
          </cell>
        </row>
        <row r="455">
          <cell r="A455" t="str">
            <v>ALH01</v>
          </cell>
          <cell r="B455" t="str">
            <v>ALH01.ASX</v>
          </cell>
          <cell r="C455" t="str">
            <v>ALH01.ASX</v>
          </cell>
          <cell r="D455" t="str">
            <v>0</v>
          </cell>
          <cell r="E455" t="str">
            <v>0</v>
          </cell>
          <cell r="F455">
            <v>319.43</v>
          </cell>
          <cell r="G455" t="str">
            <v>0</v>
          </cell>
          <cell r="J455" t="str">
            <v>ALH01.ASX</v>
          </cell>
          <cell r="K455" t="str">
            <v>ALH01</v>
          </cell>
          <cell r="L455">
            <v>1</v>
          </cell>
          <cell r="M455">
            <v>141286630</v>
          </cell>
          <cell r="N455">
            <v>7074.6106</v>
          </cell>
          <cell r="O455">
            <v>42660</v>
          </cell>
          <cell r="P455" t="str">
            <v>Pam0001Au</v>
          </cell>
          <cell r="Q455" t="str">
            <v>Alphinity Australian Share Fund</v>
          </cell>
          <cell r="R455" t="str">
            <v>Alphinity Investment Management (Fidante Partners Limited)</v>
          </cell>
          <cell r="T455">
            <v>7.59</v>
          </cell>
          <cell r="X455" t="str">
            <v>ALH01.ASX</v>
          </cell>
          <cell r="Y455">
            <v>306.64999999999998</v>
          </cell>
          <cell r="Z455" t="str">
            <v>ALH01.ASX</v>
          </cell>
          <cell r="AA455">
            <v>283.25</v>
          </cell>
          <cell r="AB455" t="str">
            <v>ALH01.ASX</v>
          </cell>
          <cell r="AC455">
            <v>159.85</v>
          </cell>
          <cell r="AD455" t="str">
            <v>ALH01.ASX</v>
          </cell>
          <cell r="AF455" t="str">
            <v>ALH01.ASX</v>
          </cell>
          <cell r="AG455">
            <v>319.43</v>
          </cell>
        </row>
        <row r="456">
          <cell r="A456" t="str">
            <v>ALH02</v>
          </cell>
          <cell r="B456" t="str">
            <v>ALH02.ASX</v>
          </cell>
          <cell r="C456" t="str">
            <v>ALH02.ASX</v>
          </cell>
          <cell r="D456">
            <v>1</v>
          </cell>
          <cell r="E456">
            <v>10000</v>
          </cell>
          <cell r="F456">
            <v>136.24</v>
          </cell>
          <cell r="G456">
            <v>7476.6355000000003</v>
          </cell>
          <cell r="J456" t="str">
            <v>ALH02.ASX</v>
          </cell>
          <cell r="K456" t="str">
            <v>ALH02</v>
          </cell>
          <cell r="L456">
            <v>1</v>
          </cell>
          <cell r="M456">
            <v>13726250</v>
          </cell>
          <cell r="N456">
            <v>89578.733699999997</v>
          </cell>
          <cell r="O456">
            <v>42660</v>
          </cell>
          <cell r="P456" t="str">
            <v>How0026Au</v>
          </cell>
          <cell r="Q456" t="str">
            <v>Alphinity Concentrated Australian Share Fund</v>
          </cell>
          <cell r="R456" t="str">
            <v>Alphinity Investment Management (Fidante Partners Limited)</v>
          </cell>
          <cell r="T456">
            <v>3.16</v>
          </cell>
          <cell r="X456" t="str">
            <v>ALH02.ASX</v>
          </cell>
          <cell r="Y456">
            <v>130.88999999999999</v>
          </cell>
          <cell r="Z456" t="str">
            <v>ALH02.ASX</v>
          </cell>
          <cell r="AA456">
            <v>119.61</v>
          </cell>
          <cell r="AB456" t="str">
            <v>ALH02.ASX</v>
          </cell>
          <cell r="AC456">
            <v>166.14</v>
          </cell>
          <cell r="AD456" t="str">
            <v>ALH02.ASX</v>
          </cell>
          <cell r="AF456" t="str">
            <v>ALH02.ASX</v>
          </cell>
          <cell r="AG456">
            <v>136.24</v>
          </cell>
        </row>
        <row r="457">
          <cell r="A457" t="str">
            <v>ALH03</v>
          </cell>
          <cell r="B457" t="str">
            <v>ALH03.ASX</v>
          </cell>
          <cell r="C457" t="str">
            <v>ALH03.ASX</v>
          </cell>
          <cell r="D457" t="str">
            <v>0</v>
          </cell>
          <cell r="E457" t="str">
            <v>0</v>
          </cell>
          <cell r="F457">
            <v>169.04</v>
          </cell>
          <cell r="G457" t="str">
            <v>0</v>
          </cell>
          <cell r="J457" t="str">
            <v>ALH03.ASX</v>
          </cell>
          <cell r="K457" t="str">
            <v>ALH03</v>
          </cell>
          <cell r="L457">
            <v>1</v>
          </cell>
          <cell r="M457">
            <v>20021660</v>
          </cell>
          <cell r="N457">
            <v>0</v>
          </cell>
          <cell r="O457">
            <v>42660</v>
          </cell>
          <cell r="P457" t="str">
            <v>How0121Au</v>
          </cell>
          <cell r="Q457" t="str">
            <v>Alphinity Socially Responsible Share Fund</v>
          </cell>
          <cell r="R457" t="str">
            <v>Alphinity Investment Management (Fidante Partners Limited)</v>
          </cell>
          <cell r="T457">
            <v>3.42</v>
          </cell>
          <cell r="X457" t="str">
            <v>ALH03.ASX</v>
          </cell>
          <cell r="Y457">
            <v>162.30000000000001</v>
          </cell>
          <cell r="Z457" t="str">
            <v>ALH03.ASX</v>
          </cell>
          <cell r="AA457">
            <v>144.5</v>
          </cell>
          <cell r="AB457" t="str">
            <v>ALH03.ASX</v>
          </cell>
          <cell r="AC457">
            <v>140.71</v>
          </cell>
          <cell r="AD457" t="str">
            <v>ALH03.ASX</v>
          </cell>
          <cell r="AF457" t="str">
            <v>ALH03.ASX</v>
          </cell>
          <cell r="AG457">
            <v>169.04</v>
          </cell>
        </row>
        <row r="458">
          <cell r="A458" t="str">
            <v>ANT01</v>
          </cell>
          <cell r="B458" t="str">
            <v>ANT01.ASX</v>
          </cell>
          <cell r="C458" t="str">
            <v>ANT01.ASX</v>
          </cell>
          <cell r="D458" t="str">
            <v>0</v>
          </cell>
          <cell r="E458" t="str">
            <v>0</v>
          </cell>
          <cell r="F458">
            <v>102.494</v>
          </cell>
          <cell r="G458" t="str">
            <v>0</v>
          </cell>
          <cell r="J458" t="str">
            <v>ANT01.ASX</v>
          </cell>
          <cell r="K458" t="str">
            <v>ANT01</v>
          </cell>
          <cell r="L458">
            <v>1</v>
          </cell>
          <cell r="M458">
            <v>214890000</v>
          </cell>
          <cell r="N458">
            <v>579114.91</v>
          </cell>
          <cell r="O458">
            <v>42359</v>
          </cell>
          <cell r="P458" t="str">
            <v>Ppl0028Au</v>
          </cell>
          <cell r="Q458" t="str">
            <v>Antares Income Fund</v>
          </cell>
          <cell r="R458" t="str">
            <v>NYLEX (NEW ZEALAND) LIMITED</v>
          </cell>
          <cell r="T458">
            <v>1.12999998</v>
          </cell>
          <cell r="X458" t="str">
            <v>ANT01.ASX</v>
          </cell>
          <cell r="Y458">
            <v>102.3383</v>
          </cell>
          <cell r="Z458" t="str">
            <v>ANT01.ASX</v>
          </cell>
          <cell r="AA458">
            <v>102.2304</v>
          </cell>
          <cell r="AB458" t="str">
            <v>ANT01.ASX</v>
          </cell>
          <cell r="AC458">
            <v>108.45</v>
          </cell>
          <cell r="AD458" t="str">
            <v>ANT01.ASX</v>
          </cell>
          <cell r="AF458" t="str">
            <v>ANT01.ASX</v>
          </cell>
          <cell r="AG458">
            <v>102.494</v>
          </cell>
        </row>
        <row r="459">
          <cell r="A459" t="str">
            <v>APF01</v>
          </cell>
          <cell r="B459" t="str">
            <v>APF01.ASX</v>
          </cell>
          <cell r="C459" t="str">
            <v>APF01.ASX</v>
          </cell>
          <cell r="D459">
            <v>151</v>
          </cell>
          <cell r="E459">
            <v>813113.6100000008</v>
          </cell>
          <cell r="F459">
            <v>170.63</v>
          </cell>
          <cell r="G459">
            <v>485500.8</v>
          </cell>
          <cell r="J459" t="str">
            <v>APF01.ASX</v>
          </cell>
          <cell r="K459" t="str">
            <v>APF01</v>
          </cell>
          <cell r="L459">
            <v>1</v>
          </cell>
          <cell r="M459">
            <v>1267200000</v>
          </cell>
          <cell r="N459">
            <v>7162934.04</v>
          </cell>
          <cell r="O459">
            <v>41757</v>
          </cell>
          <cell r="P459" t="str">
            <v>Apn0008Au</v>
          </cell>
          <cell r="Q459" t="str">
            <v>Apn Areit Fund</v>
          </cell>
          <cell r="R459" t="str">
            <v>Apn Funds Management Limited</v>
          </cell>
          <cell r="S459">
            <v>0</v>
          </cell>
          <cell r="T459">
            <v>9.5633999999999997</v>
          </cell>
          <cell r="X459" t="str">
            <v>APF01.ASX</v>
          </cell>
          <cell r="Y459">
            <v>167.48</v>
          </cell>
          <cell r="Z459" t="str">
            <v>APF01.ASX</v>
          </cell>
          <cell r="AA459">
            <v>163.81</v>
          </cell>
          <cell r="AB459" t="str">
            <v>APF01.ASX</v>
          </cell>
          <cell r="AC459">
            <v>157.43</v>
          </cell>
          <cell r="AD459" t="str">
            <v>APF01.ASX</v>
          </cell>
          <cell r="AF459" t="str">
            <v>APF01.ASX</v>
          </cell>
          <cell r="AG459">
            <v>170.63</v>
          </cell>
        </row>
        <row r="460">
          <cell r="A460" t="str">
            <v>APF02</v>
          </cell>
          <cell r="B460" t="str">
            <v>APF02.ASX</v>
          </cell>
          <cell r="C460" t="str">
            <v>APF02.ASX</v>
          </cell>
          <cell r="D460">
            <v>45</v>
          </cell>
          <cell r="E460">
            <v>109811.59</v>
          </cell>
          <cell r="F460">
            <v>161.21</v>
          </cell>
          <cell r="G460">
            <v>68140.03</v>
          </cell>
          <cell r="J460" t="str">
            <v>APF02.ASX</v>
          </cell>
          <cell r="K460" t="str">
            <v>APF02</v>
          </cell>
          <cell r="L460">
            <v>1</v>
          </cell>
          <cell r="M460">
            <v>1720000</v>
          </cell>
          <cell r="N460">
            <v>3104168.38</v>
          </cell>
          <cell r="O460">
            <v>41757</v>
          </cell>
          <cell r="P460" t="str">
            <v>Apn0023Au</v>
          </cell>
          <cell r="Q460" t="str">
            <v>Apn Asian REIT Fund</v>
          </cell>
          <cell r="R460" t="str">
            <v>Apn Funds Management Limited</v>
          </cell>
          <cell r="S460">
            <v>0</v>
          </cell>
          <cell r="T460">
            <v>9.1663000000000014</v>
          </cell>
          <cell r="X460" t="str">
            <v>APF02.ASX</v>
          </cell>
          <cell r="Y460">
            <v>160.9</v>
          </cell>
          <cell r="Z460" t="str">
            <v>APF02.ASX</v>
          </cell>
          <cell r="AA460">
            <v>153.29</v>
          </cell>
          <cell r="AB460" t="str">
            <v>APF02.ASX</v>
          </cell>
          <cell r="AC460">
            <v>164.3</v>
          </cell>
          <cell r="AD460" t="str">
            <v>APF02.ASX</v>
          </cell>
          <cell r="AF460" t="str">
            <v>APF02.ASX</v>
          </cell>
          <cell r="AG460">
            <v>161.21</v>
          </cell>
        </row>
        <row r="461">
          <cell r="A461" t="str">
            <v>AQY01</v>
          </cell>
          <cell r="B461" t="str">
            <v>AQY01.ASX</v>
          </cell>
          <cell r="C461" t="str">
            <v>AQY01.ASX</v>
          </cell>
          <cell r="D461">
            <v>43</v>
          </cell>
          <cell r="E461">
            <v>1621721.72</v>
          </cell>
          <cell r="F461">
            <v>181.03</v>
          </cell>
          <cell r="G461">
            <v>907652.50799999991</v>
          </cell>
          <cell r="J461" t="str">
            <v>AQY01.ASX</v>
          </cell>
          <cell r="K461" t="str">
            <v>AQY01</v>
          </cell>
          <cell r="L461">
            <v>1</v>
          </cell>
          <cell r="M461">
            <v>1557000000</v>
          </cell>
          <cell r="N461">
            <v>14189851.089</v>
          </cell>
          <cell r="O461">
            <v>41869</v>
          </cell>
          <cell r="P461" t="str">
            <v>Etl0060Au</v>
          </cell>
          <cell r="Q461" t="str">
            <v>Allan Gray Australia Equity Fund - Class A</v>
          </cell>
          <cell r="R461" t="str">
            <v>Allan Gray Australia (Equity Trustees Limited)</v>
          </cell>
          <cell r="S461">
            <v>0</v>
          </cell>
          <cell r="X461" t="str">
            <v>AQY01.ASX</v>
          </cell>
          <cell r="Y461">
            <v>174.58</v>
          </cell>
          <cell r="Z461" t="str">
            <v>AQY01.ASX</v>
          </cell>
          <cell r="AA461">
            <v>161.81</v>
          </cell>
          <cell r="AB461" t="str">
            <v>AQY01.ASX</v>
          </cell>
          <cell r="AC461">
            <v>132.87</v>
          </cell>
          <cell r="AD461" t="str">
            <v>AQY01.ASX</v>
          </cell>
          <cell r="AF461" t="str">
            <v>AQY01.ASX</v>
          </cell>
          <cell r="AG461">
            <v>181.03</v>
          </cell>
        </row>
        <row r="462">
          <cell r="A462" t="str">
            <v>AQY02</v>
          </cell>
          <cell r="B462" t="str">
            <v>AQY02.ASX</v>
          </cell>
          <cell r="C462" t="str">
            <v>AQY02.ASX</v>
          </cell>
          <cell r="D462">
            <v>15</v>
          </cell>
          <cell r="E462">
            <v>892606.65</v>
          </cell>
          <cell r="F462">
            <v>122.88</v>
          </cell>
          <cell r="G462">
            <v>729714.33800000022</v>
          </cell>
          <cell r="J462" t="str">
            <v>AQY02.ASX</v>
          </cell>
          <cell r="K462" t="str">
            <v>AQY02</v>
          </cell>
          <cell r="L462">
            <v>1</v>
          </cell>
          <cell r="M462">
            <v>212000000</v>
          </cell>
          <cell r="N462">
            <v>6885696.9179999996</v>
          </cell>
          <cell r="O462">
            <v>41869</v>
          </cell>
          <cell r="P462" t="str">
            <v>Etl0273Au</v>
          </cell>
          <cell r="Q462" t="str">
            <v>Allan Gray Australia Stable Fund</v>
          </cell>
          <cell r="R462" t="str">
            <v>Allan Gray Australia (Equity Trustees Limited)</v>
          </cell>
          <cell r="S462">
            <v>0</v>
          </cell>
          <cell r="T462">
            <v>1.6342000000000001</v>
          </cell>
          <cell r="X462" t="str">
            <v>AQY02.ASX</v>
          </cell>
          <cell r="Y462">
            <v>121.52</v>
          </cell>
          <cell r="Z462" t="str">
            <v>AQY02.ASX</v>
          </cell>
          <cell r="AA462">
            <v>120.26</v>
          </cell>
          <cell r="AB462" t="str">
            <v>AQY02.ASX</v>
          </cell>
          <cell r="AC462">
            <v>107.38</v>
          </cell>
          <cell r="AD462" t="str">
            <v>AQY02.ASX</v>
          </cell>
          <cell r="AF462" t="str">
            <v>AQY02.ASX</v>
          </cell>
          <cell r="AG462">
            <v>122.88</v>
          </cell>
        </row>
        <row r="463">
          <cell r="A463" t="str">
            <v>AQY03</v>
          </cell>
          <cell r="B463" t="str">
            <v>AQY03.ASX</v>
          </cell>
          <cell r="C463" t="str">
            <v>AQY03.ASX</v>
          </cell>
          <cell r="D463">
            <v>1</v>
          </cell>
          <cell r="E463">
            <v>10000</v>
          </cell>
          <cell r="F463">
            <v>116.6</v>
          </cell>
          <cell r="G463">
            <v>8679.8019999999997</v>
          </cell>
          <cell r="J463" t="str">
            <v>AQY03.ASX</v>
          </cell>
          <cell r="K463" t="str">
            <v>AQY03</v>
          </cell>
          <cell r="L463">
            <v>1</v>
          </cell>
          <cell r="M463">
            <v>65900000.000000007</v>
          </cell>
          <cell r="N463">
            <v>445059.86300000001</v>
          </cell>
          <cell r="O463">
            <v>42900</v>
          </cell>
          <cell r="P463" t="str">
            <v>Etl4654Au</v>
          </cell>
          <cell r="Q463" t="str">
            <v>Allan Gray Australia Balanced Fund</v>
          </cell>
          <cell r="R463" t="str">
            <v>Allan Gray Australia (Equity Trustees Limited)</v>
          </cell>
          <cell r="X463" t="str">
            <v>AQY03.ASX</v>
          </cell>
          <cell r="Y463">
            <v>114.68</v>
          </cell>
          <cell r="Z463" t="str">
            <v>AQY03.ASX</v>
          </cell>
          <cell r="AA463">
            <v>105.8</v>
          </cell>
          <cell r="AB463" t="str">
            <v>AQY03.ASX</v>
          </cell>
          <cell r="AD463" t="str">
            <v>AQY03.ASX</v>
          </cell>
          <cell r="AF463" t="str">
            <v>AQY03.ASX</v>
          </cell>
          <cell r="AG463">
            <v>116.6</v>
          </cell>
        </row>
        <row r="464">
          <cell r="A464" t="str">
            <v>AVO01</v>
          </cell>
          <cell r="B464" t="str">
            <v>AVO01.ASX</v>
          </cell>
          <cell r="C464" t="str">
            <v>AVO01.ASX</v>
          </cell>
          <cell r="D464" t="str">
            <v>0</v>
          </cell>
          <cell r="E464" t="str">
            <v>0</v>
          </cell>
          <cell r="F464">
            <v>111.54</v>
          </cell>
          <cell r="G464" t="str">
            <v>0</v>
          </cell>
          <cell r="J464" t="str">
            <v>AVO01.ASX</v>
          </cell>
          <cell r="K464" t="str">
            <v>AVO01</v>
          </cell>
          <cell r="L464">
            <v>1</v>
          </cell>
          <cell r="M464">
            <v>15782000</v>
          </cell>
          <cell r="N464">
            <v>71282.749100000001</v>
          </cell>
          <cell r="O464">
            <v>42291</v>
          </cell>
          <cell r="P464" t="str">
            <v>Bfl0008Au</v>
          </cell>
          <cell r="Q464" t="str">
            <v>Bennelong Avoca Emerging Leaders Fund</v>
          </cell>
          <cell r="R464" t="str">
            <v>Bennelong Funds Mgt Ltd (Avoca Inv Mgt)</v>
          </cell>
          <cell r="T464">
            <v>1.2372000000000001</v>
          </cell>
          <cell r="X464" t="str">
            <v>AVO01.ASX</v>
          </cell>
          <cell r="Y464">
            <v>110.64</v>
          </cell>
          <cell r="Z464" t="str">
            <v>AVO01.ASX</v>
          </cell>
          <cell r="AA464">
            <v>108.09</v>
          </cell>
          <cell r="AB464" t="str">
            <v>AVO01.ASX</v>
          </cell>
          <cell r="AD464" t="str">
            <v>AVO01.ASX</v>
          </cell>
          <cell r="AF464" t="str">
            <v>AVO01.ASX</v>
          </cell>
          <cell r="AG464">
            <v>111.54</v>
          </cell>
        </row>
        <row r="465">
          <cell r="A465" t="str">
            <v>AXW01</v>
          </cell>
          <cell r="B465" t="str">
            <v>AXW01.ASX</v>
          </cell>
          <cell r="C465" t="str">
            <v>AXW01.ASX</v>
          </cell>
          <cell r="D465">
            <v>1</v>
          </cell>
          <cell r="E465">
            <v>20000</v>
          </cell>
          <cell r="F465">
            <v>381.97329999999999</v>
          </cell>
          <cell r="G465">
            <v>5296.2861999999996</v>
          </cell>
          <cell r="J465" t="str">
            <v>AXW01.ASX</v>
          </cell>
          <cell r="K465" t="str">
            <v>AXW01</v>
          </cell>
          <cell r="L465">
            <v>1</v>
          </cell>
          <cell r="M465">
            <v>1712741030</v>
          </cell>
          <cell r="N465">
            <v>169034.54389999999</v>
          </cell>
          <cell r="O465">
            <v>42394</v>
          </cell>
          <cell r="P465" t="str">
            <v>Aap0103Au</v>
          </cell>
          <cell r="Q465" t="str">
            <v>Ausbil Active Equity Fund</v>
          </cell>
          <cell r="R465" t="str">
            <v>Ausbil Investment Management Limited</v>
          </cell>
          <cell r="T465">
            <v>7.5350720000000004</v>
          </cell>
          <cell r="X465" t="str">
            <v>AXW01.ASX</v>
          </cell>
          <cell r="Y465">
            <v>368.00400000000002</v>
          </cell>
          <cell r="Z465" t="str">
            <v>AXW01.ASX</v>
          </cell>
          <cell r="AA465">
            <v>351.24590000000001</v>
          </cell>
          <cell r="AB465" t="str">
            <v>AXW01.ASX</v>
          </cell>
          <cell r="AD465" t="str">
            <v>AXW01.ASX</v>
          </cell>
          <cell r="AF465" t="str">
            <v>AXW01.ASX</v>
          </cell>
          <cell r="AG465">
            <v>381.97329999999999</v>
          </cell>
        </row>
        <row r="466">
          <cell r="A466" t="str">
            <v>AXW02</v>
          </cell>
          <cell r="B466" t="str">
            <v>AXW02.ASX</v>
          </cell>
          <cell r="C466" t="str">
            <v>AXW02.ASX</v>
          </cell>
          <cell r="D466">
            <v>2</v>
          </cell>
          <cell r="E466">
            <v>98265</v>
          </cell>
          <cell r="F466">
            <v>378.71190000000001</v>
          </cell>
          <cell r="G466">
            <v>25740.390900000002</v>
          </cell>
          <cell r="J466" t="str">
            <v>AXW02.ASX</v>
          </cell>
          <cell r="K466" t="str">
            <v>AXW02</v>
          </cell>
          <cell r="L466">
            <v>1</v>
          </cell>
          <cell r="M466">
            <v>915016070</v>
          </cell>
          <cell r="N466">
            <v>371506.41350000002</v>
          </cell>
          <cell r="O466">
            <v>42807</v>
          </cell>
          <cell r="P466" t="str">
            <v>Aap0104Au</v>
          </cell>
          <cell r="Q466" t="str">
            <v>Ausbil Australian Emerging Leaders Fund</v>
          </cell>
          <cell r="R466" t="str">
            <v>Ausbil Investment Management Limited</v>
          </cell>
          <cell r="T466">
            <v>2.6406869999999998</v>
          </cell>
          <cell r="X466" t="str">
            <v>AXW02.ASX</v>
          </cell>
          <cell r="Y466">
            <v>372.19929999999999</v>
          </cell>
          <cell r="Z466" t="str">
            <v>AXW02.ASX</v>
          </cell>
          <cell r="AA466">
            <v>359.2962</v>
          </cell>
          <cell r="AB466" t="str">
            <v>AXW02.ASX</v>
          </cell>
          <cell r="AC466">
            <v>151.69</v>
          </cell>
          <cell r="AD466" t="str">
            <v>AXW02.ASX</v>
          </cell>
          <cell r="AF466" t="str">
            <v>AXW02.ASX</v>
          </cell>
          <cell r="AG466">
            <v>378.71190000000001</v>
          </cell>
        </row>
        <row r="467">
          <cell r="A467" t="str">
            <v>AXW04</v>
          </cell>
          <cell r="B467" t="str">
            <v>AXW04.ASX</v>
          </cell>
          <cell r="C467" t="str">
            <v>AXW04.ASX</v>
          </cell>
          <cell r="D467">
            <v>1</v>
          </cell>
          <cell r="E467">
            <v>24268.74</v>
          </cell>
          <cell r="F467">
            <v>87.950400000000002</v>
          </cell>
          <cell r="G467">
            <v>28575.2601</v>
          </cell>
          <cell r="J467" t="str">
            <v>AXW04.ASX</v>
          </cell>
          <cell r="K467" t="str">
            <v>AXW04</v>
          </cell>
          <cell r="L467">
            <v>1</v>
          </cell>
          <cell r="M467">
            <v>163313060</v>
          </cell>
          <cell r="N467">
            <v>990414.06070000003</v>
          </cell>
          <cell r="O467">
            <v>42394</v>
          </cell>
          <cell r="P467" t="str">
            <v>Aap0002Au</v>
          </cell>
          <cell r="Q467" t="str">
            <v>Ausbil Geared Equity Fund</v>
          </cell>
          <cell r="R467" t="str">
            <v>Ausbil Investment Management Limited</v>
          </cell>
          <cell r="X467" t="str">
            <v>AXW04.ASX</v>
          </cell>
          <cell r="Y467">
            <v>82.483099999999993</v>
          </cell>
          <cell r="Z467" t="str">
            <v>AXW04.ASX</v>
          </cell>
          <cell r="AA467">
            <v>68.691100000000006</v>
          </cell>
          <cell r="AB467" t="str">
            <v>AXW04.ASX</v>
          </cell>
          <cell r="AC467">
            <v>157.44999999999999</v>
          </cell>
          <cell r="AD467" t="str">
            <v>AXW04.ASX</v>
          </cell>
          <cell r="AF467" t="str">
            <v>AXW04.ASX</v>
          </cell>
          <cell r="AG467">
            <v>87.950400000000002</v>
          </cell>
        </row>
        <row r="468">
          <cell r="A468" t="str">
            <v>AXW05</v>
          </cell>
          <cell r="B468" t="str">
            <v>AXW05.ASX</v>
          </cell>
          <cell r="C468" t="str">
            <v>AXW05.ASX</v>
          </cell>
          <cell r="D468">
            <v>11</v>
          </cell>
          <cell r="E468">
            <v>577923.46</v>
          </cell>
          <cell r="F468">
            <v>160.57689999999999</v>
          </cell>
          <cell r="G468">
            <v>364784.3051</v>
          </cell>
          <cell r="J468" t="str">
            <v>AXW05.ASX</v>
          </cell>
          <cell r="K468" t="str">
            <v>AXW05</v>
          </cell>
          <cell r="L468">
            <v>1</v>
          </cell>
          <cell r="M468">
            <v>503571070</v>
          </cell>
          <cell r="N468">
            <v>1939150.4535999999</v>
          </cell>
          <cell r="O468">
            <v>43032</v>
          </cell>
          <cell r="P468" t="str">
            <v>Aap0008Au</v>
          </cell>
          <cell r="Q468" t="str">
            <v>Ausbil 130/30 Focus Fund</v>
          </cell>
          <cell r="R468" t="str">
            <v>Ausbil Investment Management Limited</v>
          </cell>
          <cell r="T468">
            <v>1.411449</v>
          </cell>
          <cell r="X468" t="str">
            <v>AXW05.ASX</v>
          </cell>
          <cell r="Y468">
            <v>154.9965</v>
          </cell>
          <cell r="Z468" t="str">
            <v>AXW05.ASX</v>
          </cell>
          <cell r="AA468">
            <v>114.43</v>
          </cell>
          <cell r="AB468" t="str">
            <v>AXW05.ASX</v>
          </cell>
          <cell r="AC468">
            <v>136.65</v>
          </cell>
          <cell r="AD468" t="str">
            <v>AXW05.ASX</v>
          </cell>
          <cell r="AF468" t="str">
            <v>AXW05.ASX</v>
          </cell>
          <cell r="AG468">
            <v>160.57689999999999</v>
          </cell>
        </row>
        <row r="469">
          <cell r="A469" t="str">
            <v>AXW07</v>
          </cell>
          <cell r="B469" t="str">
            <v>AXW07.ASX</v>
          </cell>
          <cell r="C469" t="str">
            <v>AXW07.ASX</v>
          </cell>
          <cell r="D469" t="str">
            <v>0</v>
          </cell>
          <cell r="E469" t="str">
            <v>0</v>
          </cell>
          <cell r="F469">
            <v>108.61239999999999</v>
          </cell>
          <cell r="G469" t="str">
            <v>0</v>
          </cell>
          <cell r="J469" t="str">
            <v>AXW07.ASX</v>
          </cell>
          <cell r="K469" t="str">
            <v>AXW07</v>
          </cell>
          <cell r="L469">
            <v>1</v>
          </cell>
          <cell r="M469">
            <v>0</v>
          </cell>
          <cell r="N469">
            <v>0</v>
          </cell>
          <cell r="O469">
            <v>43220</v>
          </cell>
          <cell r="P469" t="str">
            <v>Aap9227Au</v>
          </cell>
          <cell r="Q469" t="str">
            <v>Ausbil Australian Concentrated Equity Fund</v>
          </cell>
          <cell r="R469" t="str">
            <v>Ausbil Investment Management Limited</v>
          </cell>
          <cell r="X469" t="str">
            <v>AXW07.ASX</v>
          </cell>
          <cell r="Y469">
            <v>105.0583</v>
          </cell>
          <cell r="Z469" t="str">
            <v>AXW07.ASX</v>
          </cell>
          <cell r="AA469">
            <v>94.89</v>
          </cell>
          <cell r="AB469" t="str">
            <v>AXW07.ASX</v>
          </cell>
          <cell r="AD469" t="str">
            <v>AXW07.ASX</v>
          </cell>
          <cell r="AF469" t="str">
            <v>AXW07.ASX</v>
          </cell>
          <cell r="AG469">
            <v>108.61239999999999</v>
          </cell>
        </row>
        <row r="470">
          <cell r="A470" t="str">
            <v>AXW08</v>
          </cell>
          <cell r="B470" t="str">
            <v>AXW08.ASX</v>
          </cell>
          <cell r="C470" t="str">
            <v>AXW08.ASX</v>
          </cell>
          <cell r="D470" t="str">
            <v>0</v>
          </cell>
          <cell r="E470" t="str">
            <v>0</v>
          </cell>
          <cell r="F470">
            <v>104.8909</v>
          </cell>
          <cell r="G470" t="str">
            <v>0</v>
          </cell>
          <cell r="J470" t="str">
            <v>AXW08.ASX</v>
          </cell>
          <cell r="K470" t="str">
            <v>AXW08</v>
          </cell>
          <cell r="L470">
            <v>1</v>
          </cell>
          <cell r="M470">
            <v>0</v>
          </cell>
          <cell r="N470">
            <v>0</v>
          </cell>
          <cell r="O470">
            <v>43220</v>
          </cell>
          <cell r="P470" t="str">
            <v>Aap3940Au</v>
          </cell>
          <cell r="Q470" t="str">
            <v>Ausbil Active Sustainable Equity Fund</v>
          </cell>
          <cell r="R470" t="str">
            <v>Ausbil Investment Management Limited</v>
          </cell>
          <cell r="X470" t="str">
            <v>AXW08.ASX</v>
          </cell>
          <cell r="Y470">
            <v>100.9725</v>
          </cell>
          <cell r="Z470" t="str">
            <v>AXW08.ASX</v>
          </cell>
          <cell r="AA470">
            <v>96.05</v>
          </cell>
          <cell r="AB470" t="str">
            <v>AXW08.ASX</v>
          </cell>
          <cell r="AD470" t="str">
            <v>AXW08.ASX</v>
          </cell>
          <cell r="AF470" t="str">
            <v>AXW08.ASX</v>
          </cell>
          <cell r="AG470">
            <v>104.8909</v>
          </cell>
        </row>
        <row r="471">
          <cell r="A471" t="str">
            <v>BAE01</v>
          </cell>
          <cell r="B471" t="str">
            <v>BAE01.ASX</v>
          </cell>
          <cell r="C471" t="str">
            <v>BAE01.ASX</v>
          </cell>
          <cell r="D471">
            <v>9</v>
          </cell>
          <cell r="E471">
            <v>289283.13</v>
          </cell>
          <cell r="F471">
            <v>230.7</v>
          </cell>
          <cell r="G471">
            <v>126307.0527</v>
          </cell>
          <cell r="J471" t="str">
            <v>BAE01.ASX</v>
          </cell>
          <cell r="K471" t="str">
            <v>BAE01</v>
          </cell>
          <cell r="L471">
            <v>1</v>
          </cell>
          <cell r="M471">
            <v>416843000</v>
          </cell>
          <cell r="N471">
            <v>902567.37009999994</v>
          </cell>
          <cell r="O471">
            <v>42291</v>
          </cell>
          <cell r="P471" t="str">
            <v>Bfl0001Au</v>
          </cell>
          <cell r="Q471" t="str">
            <v>Bennelong Australian Equities Fund</v>
          </cell>
          <cell r="R471" t="str">
            <v>Bennelong Funds Management Ltd (Baep)</v>
          </cell>
          <cell r="T471">
            <v>2.1722000000000001</v>
          </cell>
          <cell r="X471" t="str">
            <v>BAE01.ASX</v>
          </cell>
          <cell r="Y471">
            <v>221.32</v>
          </cell>
          <cell r="Z471" t="str">
            <v>BAE01.ASX</v>
          </cell>
          <cell r="AA471">
            <v>192.8</v>
          </cell>
          <cell r="AB471" t="str">
            <v>BAE01.ASX</v>
          </cell>
          <cell r="AC471">
            <v>107.89</v>
          </cell>
          <cell r="AD471" t="str">
            <v>BAE01.ASX</v>
          </cell>
          <cell r="AF471" t="str">
            <v>BAE01.ASX</v>
          </cell>
          <cell r="AG471">
            <v>230.7</v>
          </cell>
        </row>
        <row r="472">
          <cell r="A472" t="str">
            <v>BAE02</v>
          </cell>
          <cell r="B472" t="str">
            <v>BAE02.ASX</v>
          </cell>
          <cell r="C472" t="str">
            <v>BAE02.ASX</v>
          </cell>
          <cell r="D472">
            <v>27</v>
          </cell>
          <cell r="E472">
            <v>782016.91</v>
          </cell>
          <cell r="F472">
            <v>226.13</v>
          </cell>
          <cell r="G472">
            <v>342389.80999999994</v>
          </cell>
          <cell r="J472" t="str">
            <v>BAE02.ASX</v>
          </cell>
          <cell r="K472" t="str">
            <v>BAE02</v>
          </cell>
          <cell r="L472">
            <v>1</v>
          </cell>
          <cell r="M472">
            <v>556249000</v>
          </cell>
          <cell r="N472">
            <v>5042712.3805</v>
          </cell>
          <cell r="O472">
            <v>42291</v>
          </cell>
          <cell r="P472" t="str">
            <v>Bfl0002Au</v>
          </cell>
          <cell r="Q472" t="str">
            <v>Bennelong Concentrated Australian Equities Fund</v>
          </cell>
          <cell r="R472" t="str">
            <v>Bennelong Funds Management Ltd (Baep)</v>
          </cell>
          <cell r="T472">
            <v>0.78349999999999997</v>
          </cell>
          <cell r="X472" t="str">
            <v>BAE02.ASX</v>
          </cell>
          <cell r="Y472">
            <v>220.93</v>
          </cell>
          <cell r="Z472" t="str">
            <v>BAE02.ASX</v>
          </cell>
          <cell r="AA472">
            <v>186.58</v>
          </cell>
          <cell r="AB472" t="str">
            <v>BAE02.ASX</v>
          </cell>
          <cell r="AC472">
            <v>149.62</v>
          </cell>
          <cell r="AD472" t="str">
            <v>BAE02.ASX</v>
          </cell>
          <cell r="AF472" t="str">
            <v>BAE02.ASX</v>
          </cell>
          <cell r="AG472">
            <v>226.13</v>
          </cell>
        </row>
        <row r="473">
          <cell r="A473" t="str">
            <v>BAE03</v>
          </cell>
          <cell r="B473" t="str">
            <v>BAE03.ASX</v>
          </cell>
          <cell r="C473" t="str">
            <v>BAE03.ASX</v>
          </cell>
          <cell r="D473">
            <v>29</v>
          </cell>
          <cell r="E473">
            <v>876913.51</v>
          </cell>
          <cell r="F473">
            <v>255.11</v>
          </cell>
          <cell r="G473">
            <v>345927.42850000004</v>
          </cell>
          <cell r="J473" t="str">
            <v>BAE03.ASX</v>
          </cell>
          <cell r="K473" t="str">
            <v>BAE03</v>
          </cell>
          <cell r="L473">
            <v>1</v>
          </cell>
          <cell r="M473">
            <v>2509710000</v>
          </cell>
          <cell r="N473">
            <v>8662419.7756999992</v>
          </cell>
          <cell r="O473">
            <v>42291</v>
          </cell>
          <cell r="P473" t="str">
            <v>Bfl0004Au</v>
          </cell>
          <cell r="Q473" t="str">
            <v>Bennelong Ex20 Australian Equities Fund</v>
          </cell>
          <cell r="R473" t="str">
            <v>Bennelong Funds Management Ltd (Baep)</v>
          </cell>
          <cell r="T473">
            <v>1.5343</v>
          </cell>
          <cell r="X473" t="str">
            <v>BAE03.ASX</v>
          </cell>
          <cell r="Y473">
            <v>245.84</v>
          </cell>
          <cell r="Z473" t="str">
            <v>BAE03.ASX</v>
          </cell>
          <cell r="AA473">
            <v>208.27</v>
          </cell>
          <cell r="AB473" t="str">
            <v>BAE03.ASX</v>
          </cell>
          <cell r="AC473">
            <v>134.13999999999999</v>
          </cell>
          <cell r="AD473" t="str">
            <v>BAE03.ASX</v>
          </cell>
          <cell r="AF473" t="str">
            <v>BAE03.ASX</v>
          </cell>
          <cell r="AG473">
            <v>255.11</v>
          </cell>
        </row>
        <row r="474">
          <cell r="A474" t="str">
            <v>BAE04</v>
          </cell>
          <cell r="B474" t="str">
            <v>BAE04.ASX</v>
          </cell>
          <cell r="C474" t="str">
            <v>BAE04.ASX</v>
          </cell>
          <cell r="D474" t="str">
            <v>0</v>
          </cell>
          <cell r="E474" t="str">
            <v>0</v>
          </cell>
          <cell r="F474">
            <v>128.51</v>
          </cell>
          <cell r="G474" t="str">
            <v>0</v>
          </cell>
          <cell r="J474" t="str">
            <v>BAE04.ASX</v>
          </cell>
          <cell r="K474" t="str">
            <v>BAE04</v>
          </cell>
          <cell r="L474">
            <v>1</v>
          </cell>
          <cell r="M474">
            <v>3342000</v>
          </cell>
          <cell r="N474">
            <v>59105.531900000002</v>
          </cell>
          <cell r="O474">
            <v>42424</v>
          </cell>
          <cell r="P474" t="str">
            <v>Bfl0017Au</v>
          </cell>
          <cell r="Q474" t="str">
            <v>Bennelong Twenty20 Australian Equities Fund</v>
          </cell>
          <cell r="R474" t="str">
            <v>Bennelong Funds Management Ltd (Baep)</v>
          </cell>
          <cell r="T474">
            <v>1.0904</v>
          </cell>
          <cell r="X474" t="str">
            <v>BAE04.ASX</v>
          </cell>
          <cell r="Y474">
            <v>123.98</v>
          </cell>
          <cell r="Z474" t="str">
            <v>BAE04.ASX</v>
          </cell>
          <cell r="AA474">
            <v>113.08</v>
          </cell>
          <cell r="AB474" t="str">
            <v>BAE04.ASX</v>
          </cell>
          <cell r="AC474">
            <v>107.44</v>
          </cell>
          <cell r="AD474" t="str">
            <v>BAE04.ASX</v>
          </cell>
          <cell r="AF474" t="str">
            <v>BAE04.ASX</v>
          </cell>
          <cell r="AG474">
            <v>128.51</v>
          </cell>
        </row>
        <row r="475">
          <cell r="A475" t="str">
            <v>BAE05</v>
          </cell>
          <cell r="B475" t="str">
            <v>BAE05.ASX</v>
          </cell>
          <cell r="C475" t="str">
            <v>BAE05.ASX</v>
          </cell>
          <cell r="D475">
            <v>2</v>
          </cell>
          <cell r="E475">
            <v>22000</v>
          </cell>
          <cell r="F475">
            <v>127.48</v>
          </cell>
          <cell r="G475">
            <v>16931.291099999999</v>
          </cell>
          <cell r="J475" t="str">
            <v>BAE05.ASX</v>
          </cell>
          <cell r="K475" t="str">
            <v>BAE05</v>
          </cell>
          <cell r="L475">
            <v>1</v>
          </cell>
          <cell r="M475">
            <v>8826000</v>
          </cell>
          <cell r="N475">
            <v>16931.291099999999</v>
          </cell>
          <cell r="O475">
            <v>43213</v>
          </cell>
          <cell r="P475" t="str">
            <v>Bfl3779Au</v>
          </cell>
          <cell r="Q475" t="str">
            <v>Bennelong Emerging Companies Fund</v>
          </cell>
          <cell r="R475" t="str">
            <v>Bennelong Funds Management Ltd (Baep)</v>
          </cell>
          <cell r="X475" t="str">
            <v>BAE05.ASX</v>
          </cell>
          <cell r="Y475">
            <v>127.72</v>
          </cell>
          <cell r="Z475" t="str">
            <v>BAE05.ASX</v>
          </cell>
          <cell r="AA475">
            <v>131.30000000000001</v>
          </cell>
          <cell r="AB475" t="str">
            <v>BAE05.ASX</v>
          </cell>
          <cell r="AC475">
            <v>111.24</v>
          </cell>
          <cell r="AD475" t="str">
            <v>BAE05.ASX</v>
          </cell>
          <cell r="AF475" t="str">
            <v>BAE05.ASX</v>
          </cell>
          <cell r="AG475">
            <v>127.48</v>
          </cell>
        </row>
        <row r="476">
          <cell r="A476" t="str">
            <v>BAM03</v>
          </cell>
          <cell r="B476" t="str">
            <v>BAM03.ASX</v>
          </cell>
          <cell r="C476" t="str">
            <v>BAM03.ASX</v>
          </cell>
          <cell r="D476">
            <v>7</v>
          </cell>
          <cell r="E476">
            <v>202434.56</v>
          </cell>
          <cell r="F476">
            <v>93.82</v>
          </cell>
          <cell r="G476">
            <v>214796.18209999998</v>
          </cell>
          <cell r="J476" t="str">
            <v>BAM03.ASX</v>
          </cell>
          <cell r="K476" t="str">
            <v>BAM03</v>
          </cell>
          <cell r="L476">
            <v>1</v>
          </cell>
          <cell r="M476">
            <v>98736100</v>
          </cell>
          <cell r="N476">
            <v>1885399.7648</v>
          </cell>
          <cell r="O476">
            <v>42184</v>
          </cell>
          <cell r="P476" t="str">
            <v>Csa0102Au</v>
          </cell>
          <cell r="Q476" t="str">
            <v>Bentham High Yield Fund</v>
          </cell>
          <cell r="R476" t="str">
            <v>Bentham Asset Management (Fidante Partner Ser Ltd)</v>
          </cell>
          <cell r="T476">
            <v>3.5999999999999996</v>
          </cell>
          <cell r="X476" t="str">
            <v>BAM03.ASX</v>
          </cell>
          <cell r="Y476">
            <v>93.61</v>
          </cell>
          <cell r="Z476" t="str">
            <v>BAM03.ASX</v>
          </cell>
          <cell r="AA476">
            <v>96.34</v>
          </cell>
          <cell r="AB476" t="str">
            <v>BAM03.ASX</v>
          </cell>
          <cell r="AC476">
            <v>94.15</v>
          </cell>
          <cell r="AD476" t="str">
            <v>BAM03.ASX</v>
          </cell>
          <cell r="AF476" t="str">
            <v>BAM03.ASX</v>
          </cell>
          <cell r="AG476">
            <v>93.82</v>
          </cell>
        </row>
        <row r="477">
          <cell r="A477" t="str">
            <v>BAM04</v>
          </cell>
          <cell r="B477" t="str">
            <v>BAM04.ASX</v>
          </cell>
          <cell r="C477" t="str">
            <v>BAM04.ASX</v>
          </cell>
          <cell r="D477">
            <v>21</v>
          </cell>
          <cell r="E477">
            <v>22737.640000000003</v>
          </cell>
          <cell r="F477">
            <v>95.83</v>
          </cell>
          <cell r="G477">
            <v>23660.3462</v>
          </cell>
          <cell r="J477" t="str">
            <v>BAM04.ASX</v>
          </cell>
          <cell r="K477" t="str">
            <v>BAM04</v>
          </cell>
          <cell r="L477">
            <v>1</v>
          </cell>
          <cell r="M477">
            <v>3522850</v>
          </cell>
          <cell r="N477">
            <v>1644331.1625999999</v>
          </cell>
          <cell r="O477">
            <v>42310</v>
          </cell>
          <cell r="P477" t="str">
            <v>Csa0048Au</v>
          </cell>
          <cell r="Q477" t="str">
            <v>Bentham Professional Syndicated Loan Fund</v>
          </cell>
          <cell r="R477" t="str">
            <v>Bentham Asset Management (Fidante Partner Ser Ltd)</v>
          </cell>
          <cell r="T477">
            <v>4.3899999999999997</v>
          </cell>
          <cell r="X477" t="str">
            <v>BAM04.ASX</v>
          </cell>
          <cell r="Y477">
            <v>96.12</v>
          </cell>
          <cell r="Z477" t="str">
            <v>BAM04.ASX</v>
          </cell>
          <cell r="AA477">
            <v>95.89</v>
          </cell>
          <cell r="AB477" t="str">
            <v>BAM04.ASX</v>
          </cell>
          <cell r="AC477">
            <v>137.1</v>
          </cell>
          <cell r="AD477" t="str">
            <v>BAM04.ASX</v>
          </cell>
          <cell r="AF477" t="str">
            <v>BAM04.ASX</v>
          </cell>
          <cell r="AG477">
            <v>95.83</v>
          </cell>
        </row>
        <row r="478">
          <cell r="A478" t="str">
            <v>BAM05</v>
          </cell>
          <cell r="B478" t="str">
            <v>BAM05.ASX</v>
          </cell>
          <cell r="C478" t="str">
            <v>BAM05.ASX</v>
          </cell>
          <cell r="D478">
            <v>74</v>
          </cell>
          <cell r="E478">
            <v>1062526.9500000004</v>
          </cell>
          <cell r="F478">
            <v>105.47</v>
          </cell>
          <cell r="G478">
            <v>1001464.8218000002</v>
          </cell>
          <cell r="J478" t="str">
            <v>BAM05.ASX</v>
          </cell>
          <cell r="K478" t="str">
            <v>BAM05</v>
          </cell>
          <cell r="L478">
            <v>1</v>
          </cell>
          <cell r="M478">
            <v>26149660</v>
          </cell>
          <cell r="N478">
            <v>16761131.157499</v>
          </cell>
          <cell r="O478">
            <v>42310</v>
          </cell>
          <cell r="P478" t="str">
            <v>Csa0045Au</v>
          </cell>
          <cell r="Q478" t="str">
            <v>Bentham Professional Global Income Fund</v>
          </cell>
          <cell r="R478" t="str">
            <v>Bentham Asset Management (Fidante Partner Ser Ltd)</v>
          </cell>
          <cell r="T478">
            <v>4.1399999999999997</v>
          </cell>
          <cell r="X478" t="str">
            <v>BAM05.ASX</v>
          </cell>
          <cell r="Y478">
            <v>105.69</v>
          </cell>
          <cell r="Z478" t="str">
            <v>BAM05.ASX</v>
          </cell>
          <cell r="AA478">
            <v>104.44</v>
          </cell>
          <cell r="AB478" t="str">
            <v>BAM05.ASX</v>
          </cell>
          <cell r="AC478">
            <v>177.17</v>
          </cell>
          <cell r="AD478" t="str">
            <v>BAM05.ASX</v>
          </cell>
          <cell r="AF478" t="str">
            <v>BAM05.ASX</v>
          </cell>
          <cell r="AG478">
            <v>105.47</v>
          </cell>
        </row>
        <row r="479">
          <cell r="A479" t="str">
            <v>BLL01</v>
          </cell>
          <cell r="B479" t="str">
            <v>BLL01.ASX</v>
          </cell>
          <cell r="C479" t="str">
            <v>BLL01.ASX</v>
          </cell>
          <cell r="D479">
            <v>3</v>
          </cell>
          <cell r="E479">
            <v>222000</v>
          </cell>
          <cell r="F479">
            <v>144.28</v>
          </cell>
          <cell r="G479">
            <v>154711.1814</v>
          </cell>
          <cell r="J479" t="str">
            <v>BLL01.ASX</v>
          </cell>
          <cell r="K479" t="str">
            <v>BLL01</v>
          </cell>
          <cell r="L479">
            <v>1</v>
          </cell>
          <cell r="M479">
            <v>0</v>
          </cell>
          <cell r="N479">
            <v>1091710.7028999999</v>
          </cell>
          <cell r="O479">
            <v>43020</v>
          </cell>
          <cell r="P479" t="str">
            <v>Bpf0016Au</v>
          </cell>
          <cell r="Q479" t="str">
            <v>Bell Global Equities Fund Platform Class Units</v>
          </cell>
          <cell r="R479" t="str">
            <v>Bell Asset Management Limited (BLL)</v>
          </cell>
          <cell r="X479" t="str">
            <v>BLL01.ASX</v>
          </cell>
          <cell r="Y479">
            <v>140</v>
          </cell>
          <cell r="Z479" t="str">
            <v>BLL01.ASX</v>
          </cell>
          <cell r="AA479">
            <v>105.51</v>
          </cell>
          <cell r="AB479" t="str">
            <v>BLL01.ASX</v>
          </cell>
          <cell r="AC479">
            <v>109.83</v>
          </cell>
          <cell r="AD479" t="str">
            <v>BLL01.ASX</v>
          </cell>
          <cell r="AF479" t="str">
            <v>BLL01.ASX</v>
          </cell>
          <cell r="AG479">
            <v>144.28</v>
          </cell>
        </row>
        <row r="480">
          <cell r="A480" t="str">
            <v>CFM01</v>
          </cell>
          <cell r="B480" t="str">
            <v>CFM01.ASX</v>
          </cell>
          <cell r="C480" t="str">
            <v>CFM01.ASX</v>
          </cell>
          <cell r="D480">
            <v>5</v>
          </cell>
          <cell r="E480">
            <v>35501.549999999996</v>
          </cell>
          <cell r="F480">
            <v>110.4</v>
          </cell>
          <cell r="G480">
            <v>32554.594399999998</v>
          </cell>
          <cell r="J480" t="str">
            <v>CFM01.ASX</v>
          </cell>
          <cell r="K480" t="str">
            <v>CFM01</v>
          </cell>
          <cell r="L480">
            <v>1</v>
          </cell>
          <cell r="M480">
            <v>19847720</v>
          </cell>
          <cell r="N480">
            <v>168331.46280000001</v>
          </cell>
          <cell r="O480">
            <v>42342</v>
          </cell>
          <cell r="P480" t="str">
            <v>Crm0026Au</v>
          </cell>
          <cell r="Q480" t="str">
            <v>Cromwell Phoenix Core Listed Property Fund</v>
          </cell>
          <cell r="R480" t="str">
            <v>Cromwell Funds Management Limited</v>
          </cell>
          <cell r="T480">
            <v>4.6430199999999999</v>
          </cell>
          <cell r="X480" t="str">
            <v>CFM01.ASX</v>
          </cell>
          <cell r="Y480">
            <v>108.89</v>
          </cell>
          <cell r="Z480" t="str">
            <v>CFM01.ASX</v>
          </cell>
          <cell r="AA480">
            <v>104.12</v>
          </cell>
          <cell r="AB480" t="str">
            <v>CFM01.ASX</v>
          </cell>
          <cell r="AC480">
            <v>113.02</v>
          </cell>
          <cell r="AD480" t="str">
            <v>CFM01.ASX</v>
          </cell>
          <cell r="AF480" t="str">
            <v>CFM01.ASX</v>
          </cell>
          <cell r="AG480">
            <v>110.4</v>
          </cell>
        </row>
        <row r="481">
          <cell r="A481" t="str">
            <v>CFM02</v>
          </cell>
          <cell r="B481" t="str">
            <v>CFM02.ASX</v>
          </cell>
          <cell r="C481" t="str">
            <v>CFM02.ASX</v>
          </cell>
          <cell r="D481">
            <v>1</v>
          </cell>
          <cell r="E481">
            <v>44390</v>
          </cell>
          <cell r="F481">
            <v>202.8</v>
          </cell>
          <cell r="G481">
            <v>21888.563300000002</v>
          </cell>
          <cell r="J481" t="str">
            <v>CFM02.ASX</v>
          </cell>
          <cell r="K481" t="str">
            <v>CFM02</v>
          </cell>
          <cell r="L481">
            <v>1</v>
          </cell>
          <cell r="M481">
            <v>38946830</v>
          </cell>
          <cell r="N481">
            <v>725984.18610000005</v>
          </cell>
          <cell r="O481">
            <v>42418</v>
          </cell>
          <cell r="P481" t="str">
            <v>Crm0028Au</v>
          </cell>
          <cell r="Q481" t="str">
            <v>Cromwell Phoenix Opportunities Fund (Apps Closed)</v>
          </cell>
          <cell r="R481" t="str">
            <v>Cromwell Funds Management Limited</v>
          </cell>
          <cell r="T481">
            <v>8.8952200000000001</v>
          </cell>
          <cell r="X481" t="str">
            <v>CFM02.ASX</v>
          </cell>
          <cell r="Y481">
            <v>202.25</v>
          </cell>
          <cell r="Z481" t="str">
            <v>CFM02.ASX</v>
          </cell>
          <cell r="AA481">
            <v>184.3</v>
          </cell>
          <cell r="AB481" t="str">
            <v>CFM02.ASX</v>
          </cell>
          <cell r="AC481">
            <v>123.09</v>
          </cell>
          <cell r="AD481" t="str">
            <v>CFM02.ASX</v>
          </cell>
          <cell r="AF481" t="str">
            <v>CFM02.ASX</v>
          </cell>
          <cell r="AG481">
            <v>202.8</v>
          </cell>
        </row>
        <row r="482">
          <cell r="A482" t="str">
            <v>EAP01</v>
          </cell>
          <cell r="B482" t="str">
            <v>EAP01.ASX</v>
          </cell>
          <cell r="C482" t="str">
            <v>EAP01.ASX</v>
          </cell>
          <cell r="D482" t="str">
            <v>0</v>
          </cell>
          <cell r="E482" t="str">
            <v>0</v>
          </cell>
          <cell r="F482">
            <v>130.59</v>
          </cell>
          <cell r="G482" t="str">
            <v>0</v>
          </cell>
          <cell r="J482" t="str">
            <v>EAP01.ASX</v>
          </cell>
          <cell r="K482" t="str">
            <v>EAP01</v>
          </cell>
          <cell r="L482">
            <v>1</v>
          </cell>
          <cell r="M482">
            <v>29876960</v>
          </cell>
          <cell r="N482">
            <v>149143.5607</v>
          </cell>
          <cell r="O482">
            <v>41766</v>
          </cell>
          <cell r="P482" t="str">
            <v>Etl0391Au</v>
          </cell>
          <cell r="Q482" t="str">
            <v>Evans and Partners International Fund - Hedged</v>
          </cell>
          <cell r="R482" t="str">
            <v>Evans and Partners (Equity Trustees Limited)</v>
          </cell>
          <cell r="S482">
            <v>0</v>
          </cell>
          <cell r="T482">
            <v>7.0140000000000002</v>
          </cell>
          <cell r="X482" t="str">
            <v>EAP01.ASX</v>
          </cell>
          <cell r="Y482">
            <v>130.41999999999999</v>
          </cell>
          <cell r="Z482" t="str">
            <v>EAP01.ASX</v>
          </cell>
          <cell r="AA482">
            <v>133.30000000000001</v>
          </cell>
          <cell r="AB482" t="str">
            <v>EAP01.ASX</v>
          </cell>
          <cell r="AC482">
            <v>107.11</v>
          </cell>
          <cell r="AD482" t="str">
            <v>EAP01.ASX</v>
          </cell>
          <cell r="AF482" t="str">
            <v>EAP01.ASX</v>
          </cell>
          <cell r="AG482">
            <v>130.59</v>
          </cell>
        </row>
        <row r="483">
          <cell r="A483" t="str">
            <v>EAP03</v>
          </cell>
          <cell r="B483" t="str">
            <v>EAP03.ASX</v>
          </cell>
          <cell r="C483" t="str">
            <v>EAP03.ASX</v>
          </cell>
          <cell r="D483" t="str">
            <v>0</v>
          </cell>
          <cell r="E483" t="str">
            <v>0</v>
          </cell>
          <cell r="F483">
            <v>144.72999999999999</v>
          </cell>
          <cell r="G483" t="str">
            <v>0</v>
          </cell>
          <cell r="J483" t="str">
            <v>EAP03.ASX</v>
          </cell>
          <cell r="K483" t="str">
            <v>EAP03</v>
          </cell>
          <cell r="L483">
            <v>1</v>
          </cell>
          <cell r="M483">
            <v>41641350</v>
          </cell>
          <cell r="N483">
            <v>457080.31920000003</v>
          </cell>
          <cell r="O483">
            <v>41766</v>
          </cell>
          <cell r="P483" t="str">
            <v>Etl0390Au</v>
          </cell>
          <cell r="Q483" t="str">
            <v>Evans and Partners International Fund</v>
          </cell>
          <cell r="R483" t="str">
            <v>Evans and Partners (Equity Trustees Limited)</v>
          </cell>
          <cell r="S483">
            <v>0</v>
          </cell>
          <cell r="X483" t="str">
            <v>EAP03.ASX</v>
          </cell>
          <cell r="Y483">
            <v>141.38999999999999</v>
          </cell>
          <cell r="Z483" t="str">
            <v>EAP03.ASX</v>
          </cell>
          <cell r="AA483">
            <v>133.85</v>
          </cell>
          <cell r="AB483" t="str">
            <v>EAP03.ASX</v>
          </cell>
          <cell r="AC483">
            <v>119.41</v>
          </cell>
          <cell r="AD483" t="str">
            <v>EAP03.ASX</v>
          </cell>
          <cell r="AF483" t="str">
            <v>EAP03.ASX</v>
          </cell>
          <cell r="AG483">
            <v>144.72999999999999</v>
          </cell>
        </row>
        <row r="484">
          <cell r="A484" t="str">
            <v>EQY01</v>
          </cell>
          <cell r="B484" t="str">
            <v>EQY01.ASX</v>
          </cell>
          <cell r="C484" t="str">
            <v>EQY01.ASX</v>
          </cell>
          <cell r="D484" t="str">
            <v>0</v>
          </cell>
          <cell r="E484" t="str">
            <v>0</v>
          </cell>
          <cell r="F484">
            <v>123.96</v>
          </cell>
          <cell r="G484" t="str">
            <v>0</v>
          </cell>
          <cell r="J484" t="str">
            <v>EQY01.ASX</v>
          </cell>
          <cell r="K484" t="str">
            <v>EQY01</v>
          </cell>
          <cell r="L484">
            <v>1</v>
          </cell>
          <cell r="M484">
            <v>97010000</v>
          </cell>
          <cell r="N484">
            <v>79015.121199999994</v>
          </cell>
          <cell r="O484">
            <v>41767</v>
          </cell>
          <cell r="P484" t="str">
            <v>Etl0079Au</v>
          </cell>
          <cell r="Q484" t="str">
            <v>Eqt Wholesale Flagship Fund</v>
          </cell>
          <cell r="R484" t="str">
            <v>Equity Trustees Limited</v>
          </cell>
          <cell r="S484">
            <v>0</v>
          </cell>
          <cell r="T484">
            <v>1.1606000000000001</v>
          </cell>
          <cell r="X484" t="str">
            <v>EQY01.ASX</v>
          </cell>
          <cell r="Y484">
            <v>119.43</v>
          </cell>
          <cell r="Z484" t="str">
            <v>EQY01.ASX</v>
          </cell>
          <cell r="AA484">
            <v>117.97</v>
          </cell>
          <cell r="AB484" t="str">
            <v>EQY01.ASX</v>
          </cell>
          <cell r="AC484">
            <v>130.44</v>
          </cell>
          <cell r="AD484" t="str">
            <v>EQY01.ASX</v>
          </cell>
          <cell r="AF484" t="str">
            <v>EQY01.ASX</v>
          </cell>
          <cell r="AG484">
            <v>123.96</v>
          </cell>
        </row>
        <row r="485">
          <cell r="A485" t="str">
            <v>EQY02</v>
          </cell>
          <cell r="B485" t="str">
            <v>EQY02.ASX</v>
          </cell>
          <cell r="C485" t="str">
            <v>EQY02.ASX</v>
          </cell>
          <cell r="D485">
            <v>1</v>
          </cell>
          <cell r="E485">
            <v>1400</v>
          </cell>
          <cell r="F485">
            <v>142.6</v>
          </cell>
          <cell r="G485">
            <v>1007.0493</v>
          </cell>
          <cell r="J485" t="str">
            <v>EQY02.ASX</v>
          </cell>
          <cell r="K485" t="str">
            <v>EQY02</v>
          </cell>
          <cell r="L485">
            <v>1</v>
          </cell>
          <cell r="M485">
            <v>65640000</v>
          </cell>
          <cell r="N485">
            <v>112077.0215</v>
          </cell>
          <cell r="O485">
            <v>41767</v>
          </cell>
          <cell r="P485" t="str">
            <v>Etl0399Au</v>
          </cell>
          <cell r="Q485" t="str">
            <v>Eqt Australian Equity Fund</v>
          </cell>
          <cell r="R485" t="str">
            <v>Equity Trustees Limited</v>
          </cell>
          <cell r="S485">
            <v>0</v>
          </cell>
          <cell r="T485">
            <v>0.29242000000000001</v>
          </cell>
          <cell r="X485" t="str">
            <v>EQY02.ASX</v>
          </cell>
          <cell r="Y485">
            <v>137.19</v>
          </cell>
          <cell r="Z485" t="str">
            <v>EQY02.ASX</v>
          </cell>
          <cell r="AA485">
            <v>153.04</v>
          </cell>
          <cell r="AB485" t="str">
            <v>EQY02.ASX</v>
          </cell>
          <cell r="AC485">
            <v>166.63</v>
          </cell>
          <cell r="AD485" t="str">
            <v>EQY02.ASX</v>
          </cell>
          <cell r="AF485" t="str">
            <v>EQY02.ASX</v>
          </cell>
          <cell r="AG485">
            <v>142.6</v>
          </cell>
        </row>
        <row r="486">
          <cell r="A486" t="str">
            <v>SPE01</v>
          </cell>
          <cell r="B486" t="str">
            <v>SPE01.ASX</v>
          </cell>
          <cell r="C486" t="str">
            <v>SPE01.ASX</v>
          </cell>
          <cell r="D486">
            <v>4</v>
          </cell>
          <cell r="E486">
            <v>323070.39</v>
          </cell>
          <cell r="F486">
            <v>107.29</v>
          </cell>
          <cell r="G486">
            <v>301525.30170000001</v>
          </cell>
          <cell r="J486" t="str">
            <v>SPE01.ASX</v>
          </cell>
          <cell r="K486" t="str">
            <v>SPE01</v>
          </cell>
          <cell r="L486">
            <v>1</v>
          </cell>
          <cell r="M486">
            <v>18740420</v>
          </cell>
          <cell r="N486">
            <v>2421887.4416</v>
          </cell>
          <cell r="O486">
            <v>42702</v>
          </cell>
          <cell r="P486" t="str">
            <v>Etl0072Au</v>
          </cell>
          <cell r="Q486" t="str">
            <v>Spectrum Strategic Income Fund</v>
          </cell>
          <cell r="R486" t="str">
            <v>Spectrum Asset Mgt (Equity Trustees Ltd)</v>
          </cell>
          <cell r="T486">
            <v>1.7040000000000002</v>
          </cell>
          <cell r="X486" t="str">
            <v>SPE01.ASX</v>
          </cell>
          <cell r="Y486">
            <v>106.87</v>
          </cell>
          <cell r="Z486" t="str">
            <v>SPE01.ASX</v>
          </cell>
          <cell r="AA486">
            <v>104.99</v>
          </cell>
          <cell r="AB486" t="str">
            <v>SPE01.ASX</v>
          </cell>
          <cell r="AC486">
            <v>109.31</v>
          </cell>
          <cell r="AD486" t="str">
            <v>SPE01.ASX</v>
          </cell>
          <cell r="AF486" t="str">
            <v>SPE01.ASX</v>
          </cell>
          <cell r="AG486">
            <v>107.29</v>
          </cell>
        </row>
        <row r="487">
          <cell r="A487" t="str">
            <v>FEC01</v>
          </cell>
          <cell r="B487" t="str">
            <v>FEC01.ASX</v>
          </cell>
          <cell r="C487" t="str">
            <v>FEC01.ASX</v>
          </cell>
          <cell r="D487" t="str">
            <v>0</v>
          </cell>
          <cell r="E487" t="str">
            <v>0</v>
          </cell>
          <cell r="F487">
            <v>144.24</v>
          </cell>
          <cell r="G487" t="str">
            <v>0</v>
          </cell>
          <cell r="J487" t="str">
            <v>FEC01.ASX</v>
          </cell>
          <cell r="K487" t="str">
            <v>FEC01</v>
          </cell>
          <cell r="L487">
            <v>1</v>
          </cell>
          <cell r="M487">
            <v>0</v>
          </cell>
          <cell r="N487">
            <v>606788.07609999995</v>
          </cell>
          <cell r="O487">
            <v>42296</v>
          </cell>
          <cell r="P487" t="str">
            <v>Etl0449Au</v>
          </cell>
          <cell r="Q487" t="str">
            <v>Flinders Emerging Companies Fund - Class B</v>
          </cell>
          <cell r="R487" t="str">
            <v>Equity Trustees Limited (Flinders)</v>
          </cell>
          <cell r="T487">
            <v>1.3053140000000001</v>
          </cell>
          <cell r="X487" t="str">
            <v>FEC01.ASX</v>
          </cell>
          <cell r="Y487">
            <v>141.69999999999999</v>
          </cell>
          <cell r="Z487" t="str">
            <v>FEC01.ASX</v>
          </cell>
          <cell r="AA487">
            <v>110.94</v>
          </cell>
          <cell r="AB487" t="str">
            <v>FEC01.ASX</v>
          </cell>
          <cell r="AD487" t="str">
            <v>FEC01.ASX</v>
          </cell>
          <cell r="AF487" t="str">
            <v>FEC01.ASX</v>
          </cell>
          <cell r="AG487">
            <v>144.24</v>
          </cell>
        </row>
        <row r="488">
          <cell r="A488" t="str">
            <v>FEP01</v>
          </cell>
          <cell r="B488" t="str">
            <v>FEP01.ASX</v>
          </cell>
          <cell r="C488" t="str">
            <v>FEP01.ASX</v>
          </cell>
          <cell r="D488">
            <v>2</v>
          </cell>
          <cell r="E488">
            <v>28043.13</v>
          </cell>
          <cell r="F488">
            <v>240.31</v>
          </cell>
          <cell r="G488">
            <v>11648.901900000001</v>
          </cell>
          <cell r="J488" t="str">
            <v>FEP01.ASX</v>
          </cell>
          <cell r="K488" t="str">
            <v>FEP01</v>
          </cell>
          <cell r="L488">
            <v>1</v>
          </cell>
          <cell r="M488">
            <v>404000000</v>
          </cell>
          <cell r="N488">
            <v>619812.6727</v>
          </cell>
          <cell r="O488">
            <v>42359</v>
          </cell>
          <cell r="P488" t="str">
            <v>Ant0002Au</v>
          </cell>
          <cell r="Q488" t="str">
            <v>Fairview Equity Partners Emerging Companies Fund</v>
          </cell>
          <cell r="R488" t="str">
            <v>Antares Capital Partners Ltd Fairvw Eqty Partnrs</v>
          </cell>
          <cell r="X488" t="str">
            <v>FEP01.ASX</v>
          </cell>
          <cell r="Y488">
            <v>235.33</v>
          </cell>
          <cell r="Z488" t="str">
            <v>FEP01.ASX</v>
          </cell>
          <cell r="AA488">
            <v>204.91</v>
          </cell>
          <cell r="AB488" t="str">
            <v>FEP01.ASX</v>
          </cell>
          <cell r="AD488" t="str">
            <v>FEP01.ASX</v>
          </cell>
          <cell r="AF488" t="str">
            <v>FEP01.ASX</v>
          </cell>
          <cell r="AG488">
            <v>240.31</v>
          </cell>
        </row>
        <row r="489">
          <cell r="A489" t="str">
            <v>FIL07</v>
          </cell>
          <cell r="B489" t="str">
            <v>FIL07.ASX</v>
          </cell>
          <cell r="C489" t="str">
            <v>FIL07.ASX</v>
          </cell>
          <cell r="D489">
            <v>8</v>
          </cell>
          <cell r="E489">
            <v>177140.47999999998</v>
          </cell>
          <cell r="F489">
            <v>2392.77</v>
          </cell>
          <cell r="G489">
            <v>7385.2699999999995</v>
          </cell>
          <cell r="J489" t="str">
            <v>FIL07.ASX</v>
          </cell>
          <cell r="K489" t="str">
            <v>FIL07</v>
          </cell>
          <cell r="L489">
            <v>1</v>
          </cell>
          <cell r="M489">
            <v>264222200</v>
          </cell>
          <cell r="N489">
            <v>365479.65</v>
          </cell>
          <cell r="O489">
            <v>42422</v>
          </cell>
          <cell r="P489" t="str">
            <v>Fid0007Au</v>
          </cell>
          <cell r="Q489" t="str">
            <v>Fidelity Global Equities Fund</v>
          </cell>
          <cell r="R489" t="str">
            <v>FIL Responsible Entity (Australia) Limited</v>
          </cell>
          <cell r="X489" t="str">
            <v>FIL07.ASX</v>
          </cell>
          <cell r="Y489">
            <v>2345.38</v>
          </cell>
          <cell r="Z489" t="str">
            <v>FIL07.ASX</v>
          </cell>
          <cell r="AA489">
            <v>2038.15</v>
          </cell>
          <cell r="AB489" t="str">
            <v>FIL07.ASX</v>
          </cell>
          <cell r="AD489" t="str">
            <v>FIL07.ASX</v>
          </cell>
          <cell r="AF489" t="str">
            <v>FIL07.ASX</v>
          </cell>
          <cell r="AG489">
            <v>2392.77</v>
          </cell>
        </row>
        <row r="490">
          <cell r="A490" t="str">
            <v>FIL08</v>
          </cell>
          <cell r="B490" t="str">
            <v>FIL08.ASX</v>
          </cell>
          <cell r="C490" t="str">
            <v>FIL08.ASX</v>
          </cell>
          <cell r="D490">
            <v>11</v>
          </cell>
          <cell r="E490">
            <v>341034.5</v>
          </cell>
          <cell r="F490">
            <v>3393.56</v>
          </cell>
          <cell r="G490">
            <v>10219.43</v>
          </cell>
          <cell r="J490" t="str">
            <v>FIL08.ASX</v>
          </cell>
          <cell r="K490" t="str">
            <v>FIL08</v>
          </cell>
          <cell r="L490">
            <v>1</v>
          </cell>
          <cell r="M490">
            <v>5792658800</v>
          </cell>
          <cell r="N490">
            <v>329279.07</v>
          </cell>
          <cell r="O490">
            <v>42422</v>
          </cell>
          <cell r="P490" t="str">
            <v>Fid0008Au</v>
          </cell>
          <cell r="Q490" t="str">
            <v>Fidelity Australian Equities Fund</v>
          </cell>
          <cell r="R490" t="str">
            <v>FIL Responsible Entity (Australia) Limited</v>
          </cell>
          <cell r="T490">
            <v>58.424441000000002</v>
          </cell>
          <cell r="X490" t="str">
            <v>FIL08.ASX</v>
          </cell>
          <cell r="Y490">
            <v>3261.28</v>
          </cell>
          <cell r="Z490" t="str">
            <v>FIL08.ASX</v>
          </cell>
          <cell r="AA490">
            <v>3034.17</v>
          </cell>
          <cell r="AB490" t="str">
            <v>FIL08.ASX</v>
          </cell>
          <cell r="AD490" t="str">
            <v>FIL08.ASX</v>
          </cell>
          <cell r="AF490" t="str">
            <v>FIL08.ASX</v>
          </cell>
          <cell r="AG490">
            <v>3393.56</v>
          </cell>
        </row>
        <row r="491">
          <cell r="A491" t="str">
            <v>FIL10</v>
          </cell>
          <cell r="B491" t="str">
            <v>FIL10.ASX</v>
          </cell>
          <cell r="C491" t="str">
            <v>FIL10.ASX</v>
          </cell>
          <cell r="D491">
            <v>4</v>
          </cell>
          <cell r="E491">
            <v>107000</v>
          </cell>
          <cell r="F491">
            <v>1997.27</v>
          </cell>
          <cell r="G491">
            <v>5200.6899999999996</v>
          </cell>
          <cell r="J491" t="str">
            <v>FIL10.ASX</v>
          </cell>
          <cell r="K491" t="str">
            <v>FIL10</v>
          </cell>
          <cell r="L491">
            <v>1</v>
          </cell>
          <cell r="M491">
            <v>137149700</v>
          </cell>
          <cell r="N491">
            <v>215171.88</v>
          </cell>
          <cell r="O491">
            <v>42422</v>
          </cell>
          <cell r="P491" t="str">
            <v>Fid0010Au</v>
          </cell>
          <cell r="Q491" t="str">
            <v>Fidelity Asia Fund</v>
          </cell>
          <cell r="R491" t="str">
            <v>FIL Responsible Entity (Australia) Limited</v>
          </cell>
          <cell r="X491" t="str">
            <v>FIL10.ASX</v>
          </cell>
          <cell r="Y491">
            <v>1997.98</v>
          </cell>
          <cell r="Z491" t="str">
            <v>FIL10.ASX</v>
          </cell>
          <cell r="AA491">
            <v>1703.66</v>
          </cell>
          <cell r="AB491" t="str">
            <v>FIL10.ASX</v>
          </cell>
          <cell r="AC491">
            <v>109.46</v>
          </cell>
          <cell r="AD491" t="str">
            <v>FIL10.ASX</v>
          </cell>
          <cell r="AF491" t="str">
            <v>FIL10.ASX</v>
          </cell>
          <cell r="AG491">
            <v>1997.27</v>
          </cell>
        </row>
        <row r="492">
          <cell r="A492" t="str">
            <v>FIL11</v>
          </cell>
          <cell r="B492" t="str">
            <v>FIL11.ASX</v>
          </cell>
          <cell r="C492" t="str">
            <v>FIL11.ASX</v>
          </cell>
          <cell r="D492">
            <v>1</v>
          </cell>
          <cell r="E492">
            <v>50000</v>
          </cell>
          <cell r="F492">
            <v>3763.71</v>
          </cell>
          <cell r="G492">
            <v>1292.45</v>
          </cell>
          <cell r="J492" t="str">
            <v>FIL11.ASX</v>
          </cell>
          <cell r="K492" t="str">
            <v>FIL11</v>
          </cell>
          <cell r="L492">
            <v>1</v>
          </cell>
          <cell r="M492">
            <v>105215900</v>
          </cell>
          <cell r="N492">
            <v>51749.75</v>
          </cell>
          <cell r="O492">
            <v>42422</v>
          </cell>
          <cell r="P492" t="str">
            <v>Fid0011Au</v>
          </cell>
          <cell r="Q492" t="str">
            <v>Fidelity China Fund</v>
          </cell>
          <cell r="R492" t="str">
            <v>FIL Responsible Entity (Australia) Limited</v>
          </cell>
          <cell r="X492" t="str">
            <v>FIL11.ASX</v>
          </cell>
          <cell r="Y492">
            <v>3828.91</v>
          </cell>
          <cell r="Z492" t="str">
            <v>FIL11.ASX</v>
          </cell>
          <cell r="AA492">
            <v>3424.58</v>
          </cell>
          <cell r="AB492" t="str">
            <v>FIL11.ASX</v>
          </cell>
          <cell r="AC492">
            <v>115.21</v>
          </cell>
          <cell r="AD492" t="str">
            <v>FIL11.ASX</v>
          </cell>
          <cell r="AF492" t="str">
            <v>FIL11.ASX</v>
          </cell>
          <cell r="AG492">
            <v>3763.71</v>
          </cell>
        </row>
        <row r="493">
          <cell r="A493" t="str">
            <v>FIL14</v>
          </cell>
          <cell r="B493" t="str">
            <v>FIL14.ASX</v>
          </cell>
          <cell r="C493" t="str">
            <v>FIL14.ASX</v>
          </cell>
          <cell r="D493">
            <v>1</v>
          </cell>
          <cell r="E493">
            <v>28320</v>
          </cell>
          <cell r="F493">
            <v>1700.99</v>
          </cell>
          <cell r="G493">
            <v>1630.18</v>
          </cell>
          <cell r="J493" t="str">
            <v>FIL14.ASX</v>
          </cell>
          <cell r="K493" t="str">
            <v>FIL14</v>
          </cell>
          <cell r="L493">
            <v>1</v>
          </cell>
          <cell r="M493">
            <v>7507000</v>
          </cell>
          <cell r="N493">
            <v>43956.93</v>
          </cell>
          <cell r="O493">
            <v>42422</v>
          </cell>
          <cell r="P493" t="str">
            <v>Fid0014Au</v>
          </cell>
          <cell r="Q493" t="str">
            <v>Fidelity Hedged Global Equities Fund</v>
          </cell>
          <cell r="R493" t="str">
            <v>FIL Responsible Entity (Australia) Limited</v>
          </cell>
          <cell r="X493" t="str">
            <v>FIL14.ASX</v>
          </cell>
          <cell r="Y493">
            <v>1701.25</v>
          </cell>
          <cell r="Z493" t="str">
            <v>FIL14.ASX</v>
          </cell>
          <cell r="AA493">
            <v>1490.06</v>
          </cell>
          <cell r="AB493" t="str">
            <v>FIL14.ASX</v>
          </cell>
          <cell r="AC493">
            <v>128.6</v>
          </cell>
          <cell r="AD493" t="str">
            <v>FIL14.ASX</v>
          </cell>
          <cell r="AF493" t="str">
            <v>FIL14.ASX</v>
          </cell>
          <cell r="AG493">
            <v>1700.99</v>
          </cell>
        </row>
        <row r="494">
          <cell r="A494" t="str">
            <v>FIL15</v>
          </cell>
          <cell r="B494" t="str">
            <v>FIL15.ASX</v>
          </cell>
          <cell r="C494" t="str">
            <v>FIL15.ASX</v>
          </cell>
          <cell r="D494">
            <v>5</v>
          </cell>
          <cell r="E494">
            <v>102000</v>
          </cell>
          <cell r="F494">
            <v>3335.78</v>
          </cell>
          <cell r="G494">
            <v>3039.6400000000003</v>
          </cell>
          <cell r="J494" t="str">
            <v>FIL15.ASX</v>
          </cell>
          <cell r="K494" t="str">
            <v>FIL15</v>
          </cell>
          <cell r="L494">
            <v>1</v>
          </cell>
          <cell r="M494">
            <v>172983900</v>
          </cell>
          <cell r="N494">
            <v>308160.46000000002</v>
          </cell>
          <cell r="O494">
            <v>42422</v>
          </cell>
          <cell r="P494" t="str">
            <v>Fid0015Au</v>
          </cell>
          <cell r="Q494" t="str">
            <v>Fidelity India Fund</v>
          </cell>
          <cell r="R494" t="str">
            <v>FIL Responsible Entity (Australia) Limited</v>
          </cell>
          <cell r="X494" t="str">
            <v>FIL15.ASX</v>
          </cell>
          <cell r="Y494">
            <v>3284.97</v>
          </cell>
          <cell r="Z494" t="str">
            <v>FIL15.ASX</v>
          </cell>
          <cell r="AA494">
            <v>2980.17</v>
          </cell>
          <cell r="AB494" t="str">
            <v>FIL15.ASX</v>
          </cell>
          <cell r="AC494">
            <v>164.83</v>
          </cell>
          <cell r="AD494" t="str">
            <v>FIL15.ASX</v>
          </cell>
          <cell r="AF494" t="str">
            <v>FIL15.ASX</v>
          </cell>
          <cell r="AG494">
            <v>3335.78</v>
          </cell>
        </row>
        <row r="495">
          <cell r="A495" t="str">
            <v>FIL21</v>
          </cell>
          <cell r="B495" t="str">
            <v>FIL21.ASX</v>
          </cell>
          <cell r="C495" t="str">
            <v>FIL21.ASX</v>
          </cell>
          <cell r="D495" t="str">
            <v>0</v>
          </cell>
          <cell r="E495" t="str">
            <v>0</v>
          </cell>
          <cell r="F495">
            <v>1694.07</v>
          </cell>
          <cell r="G495" t="str">
            <v>0</v>
          </cell>
          <cell r="J495" t="str">
            <v>FIL21.ASX</v>
          </cell>
          <cell r="K495" t="str">
            <v>FIL21</v>
          </cell>
          <cell r="L495">
            <v>1</v>
          </cell>
          <cell r="M495">
            <v>145313500</v>
          </cell>
          <cell r="N495">
            <v>59470.31</v>
          </cell>
          <cell r="O495">
            <v>42422</v>
          </cell>
          <cell r="P495" t="str">
            <v>Fid0021Au</v>
          </cell>
          <cell r="Q495" t="str">
            <v>Fidelity Australian Opportunities Fund</v>
          </cell>
          <cell r="R495" t="str">
            <v>FIL Responsible Entity (Australia) Limited</v>
          </cell>
          <cell r="T495">
            <v>20.068612000000002</v>
          </cell>
          <cell r="X495" t="str">
            <v>FIL21.ASX</v>
          </cell>
          <cell r="Y495">
            <v>1637.37</v>
          </cell>
          <cell r="Z495" t="str">
            <v>FIL21.ASX</v>
          </cell>
          <cell r="AA495">
            <v>1483.95</v>
          </cell>
          <cell r="AB495" t="str">
            <v>FIL21.ASX</v>
          </cell>
          <cell r="AC495">
            <v>340.65</v>
          </cell>
          <cell r="AD495" t="str">
            <v>FIL21.ASX</v>
          </cell>
          <cell r="AF495" t="str">
            <v>FIL21.ASX</v>
          </cell>
          <cell r="AG495">
            <v>1694.07</v>
          </cell>
        </row>
        <row r="496">
          <cell r="A496" t="str">
            <v>FIL23</v>
          </cell>
          <cell r="B496" t="str">
            <v>FIL23.ASX</v>
          </cell>
          <cell r="C496" t="str">
            <v>FIL23.ASX</v>
          </cell>
          <cell r="D496">
            <v>3</v>
          </cell>
          <cell r="E496">
            <v>57943.07</v>
          </cell>
          <cell r="F496">
            <v>2129.9299999999998</v>
          </cell>
          <cell r="G496">
            <v>2710</v>
          </cell>
          <cell r="J496" t="str">
            <v>FIL23.ASX</v>
          </cell>
          <cell r="K496" t="str">
            <v>FIL23</v>
          </cell>
          <cell r="L496">
            <v>1</v>
          </cell>
          <cell r="M496">
            <v>51423700</v>
          </cell>
          <cell r="N496">
            <v>53917.98</v>
          </cell>
          <cell r="O496">
            <v>42422</v>
          </cell>
          <cell r="P496" t="str">
            <v>Fid0023Au</v>
          </cell>
          <cell r="Q496" t="str">
            <v>Fidelity Global Demographics Fund</v>
          </cell>
          <cell r="R496" t="str">
            <v>FIL Responsible Entity (Australia) Limited</v>
          </cell>
          <cell r="X496" t="str">
            <v>FIL23.ASX</v>
          </cell>
          <cell r="Y496">
            <v>2103.4499999999998</v>
          </cell>
          <cell r="Z496" t="str">
            <v>FIL23.ASX</v>
          </cell>
          <cell r="AA496">
            <v>1839.4</v>
          </cell>
          <cell r="AB496" t="str">
            <v>FIL23.ASX</v>
          </cell>
          <cell r="AC496">
            <v>418.57</v>
          </cell>
          <cell r="AD496" t="str">
            <v>FIL23.ASX</v>
          </cell>
          <cell r="AF496" t="str">
            <v>FIL23.ASX</v>
          </cell>
          <cell r="AG496">
            <v>2129.9299999999998</v>
          </cell>
        </row>
        <row r="497">
          <cell r="A497" t="str">
            <v>FIL26</v>
          </cell>
          <cell r="B497" t="str">
            <v>FIL26.ASX</v>
          </cell>
          <cell r="C497" t="str">
            <v>FIL26.ASX</v>
          </cell>
          <cell r="D497">
            <v>8</v>
          </cell>
          <cell r="E497">
            <v>237000</v>
          </cell>
          <cell r="F497">
            <v>1950.02</v>
          </cell>
          <cell r="G497">
            <v>12061.119999999999</v>
          </cell>
          <cell r="J497" t="str">
            <v>FIL26.ASX</v>
          </cell>
          <cell r="K497" t="str">
            <v>FIL26</v>
          </cell>
          <cell r="L497">
            <v>1</v>
          </cell>
          <cell r="M497">
            <v>102664800</v>
          </cell>
          <cell r="N497">
            <v>160053.25</v>
          </cell>
          <cell r="O497">
            <v>42422</v>
          </cell>
          <cell r="P497" t="str">
            <v>Fid0026Au</v>
          </cell>
          <cell r="Q497" t="str">
            <v>Fidelity Future Leaders Fund</v>
          </cell>
          <cell r="R497" t="str">
            <v>FIL Responsible Entity (Australia) Limited</v>
          </cell>
          <cell r="T497">
            <v>8.3202309999999997</v>
          </cell>
          <cell r="X497" t="str">
            <v>FIL26.ASX</v>
          </cell>
          <cell r="Y497">
            <v>1887.21</v>
          </cell>
          <cell r="Z497" t="str">
            <v>FIL26.ASX</v>
          </cell>
          <cell r="AA497">
            <v>1530.44</v>
          </cell>
          <cell r="AB497" t="str">
            <v>FIL26.ASX</v>
          </cell>
          <cell r="AD497" t="str">
            <v>FIL26.ASX</v>
          </cell>
          <cell r="AF497" t="str">
            <v>FIL26.ASX</v>
          </cell>
          <cell r="AG497">
            <v>1950.02</v>
          </cell>
        </row>
        <row r="498">
          <cell r="A498" t="str">
            <v>FIL31</v>
          </cell>
          <cell r="B498" t="str">
            <v>FIL31.ASX</v>
          </cell>
          <cell r="C498" t="str">
            <v>FIL31.ASX</v>
          </cell>
          <cell r="D498">
            <v>1</v>
          </cell>
          <cell r="E498">
            <v>44500</v>
          </cell>
          <cell r="F498">
            <v>1474.75</v>
          </cell>
          <cell r="G498">
            <v>2947.76</v>
          </cell>
          <cell r="J498" t="str">
            <v>FIL31.ASX</v>
          </cell>
          <cell r="K498" t="str">
            <v>FIL31</v>
          </cell>
          <cell r="L498">
            <v>1</v>
          </cell>
          <cell r="M498">
            <v>11130300</v>
          </cell>
          <cell r="N498">
            <v>21769.33</v>
          </cell>
          <cell r="O498">
            <v>42422</v>
          </cell>
          <cell r="P498" t="str">
            <v>Fid0031Au</v>
          </cell>
          <cell r="Q498" t="str">
            <v>Fidelity Global Emerging Markets Fund</v>
          </cell>
          <cell r="R498" t="str">
            <v>FIL Responsible Entity (Australia) Limited</v>
          </cell>
          <cell r="X498" t="str">
            <v>FIL31.ASX</v>
          </cell>
          <cell r="Y498">
            <v>1471.97</v>
          </cell>
          <cell r="Z498" t="str">
            <v>FIL31.ASX</v>
          </cell>
          <cell r="AA498">
            <v>1303.22</v>
          </cell>
          <cell r="AB498" t="str">
            <v>FIL31.ASX</v>
          </cell>
          <cell r="AD498" t="str">
            <v>FIL31.ASX</v>
          </cell>
          <cell r="AF498" t="str">
            <v>FIL31.ASX</v>
          </cell>
          <cell r="AG498">
            <v>1474.75</v>
          </cell>
        </row>
        <row r="499">
          <cell r="A499" t="str">
            <v>FIL52</v>
          </cell>
          <cell r="B499" t="str">
            <v>FIL52.ASX</v>
          </cell>
          <cell r="C499" t="str">
            <v>FIL52.ASX</v>
          </cell>
          <cell r="D499" t="str">
            <v>0</v>
          </cell>
          <cell r="E499" t="str">
            <v>0</v>
          </cell>
          <cell r="F499">
            <v>1115.92</v>
          </cell>
          <cell r="G499" t="str">
            <v>0</v>
          </cell>
          <cell r="J499" t="str">
            <v>FIL52.ASX</v>
          </cell>
          <cell r="K499" t="str">
            <v>FIL52</v>
          </cell>
          <cell r="L499">
            <v>1</v>
          </cell>
          <cell r="M499">
            <v>2939900</v>
          </cell>
          <cell r="N499">
            <v>0</v>
          </cell>
          <cell r="O499">
            <v>42851</v>
          </cell>
          <cell r="P499" t="str">
            <v>Fid4852Au</v>
          </cell>
          <cell r="Q499" t="str">
            <v>Fidelity First Global Fund</v>
          </cell>
          <cell r="R499" t="str">
            <v>FIL Responsible Entity (Australia) Limited</v>
          </cell>
          <cell r="X499" t="str">
            <v>FIL52.ASX</v>
          </cell>
          <cell r="Y499">
            <v>1107.05</v>
          </cell>
          <cell r="Z499" t="str">
            <v>FIL52.ASX</v>
          </cell>
          <cell r="AA499">
            <v>988.89</v>
          </cell>
          <cell r="AB499" t="str">
            <v>FIL52.ASX</v>
          </cell>
          <cell r="AC499">
            <v>411.07</v>
          </cell>
          <cell r="AD499" t="str">
            <v>FIL52.ASX</v>
          </cell>
          <cell r="AF499" t="str">
            <v>FIL52.ASX</v>
          </cell>
          <cell r="AG499">
            <v>1115.92</v>
          </cell>
        </row>
        <row r="500">
          <cell r="A500" t="str">
            <v>GSF01</v>
          </cell>
          <cell r="B500" t="str">
            <v>GSF01.ASX</v>
          </cell>
          <cell r="C500" t="str">
            <v>GSF01.ASX</v>
          </cell>
          <cell r="D500">
            <v>1</v>
          </cell>
          <cell r="E500">
            <v>61500</v>
          </cell>
          <cell r="F500">
            <v>77.900000000000006</v>
          </cell>
          <cell r="G500">
            <v>78246.19</v>
          </cell>
          <cell r="J500" t="str">
            <v>GSF01.ASX</v>
          </cell>
          <cell r="K500" t="str">
            <v>GSF01</v>
          </cell>
          <cell r="L500">
            <v>1</v>
          </cell>
          <cell r="M500">
            <v>439206650</v>
          </cell>
          <cell r="N500">
            <v>135115.66</v>
          </cell>
          <cell r="O500">
            <v>43166</v>
          </cell>
          <cell r="P500" t="str">
            <v>GSF0001Au</v>
          </cell>
          <cell r="Q500" t="str">
            <v>Gsamuel Epoch Glb Eq Sharehlderyld(Hedged)(Cl A)</v>
          </cell>
          <cell r="R500" t="str">
            <v>Yowie Group Ltd</v>
          </cell>
          <cell r="T500">
            <v>4.7254449999999997</v>
          </cell>
          <cell r="X500" t="str">
            <v>GSF01.ASX</v>
          </cell>
          <cell r="Y500">
            <v>77.78</v>
          </cell>
          <cell r="Z500" t="str">
            <v>GSF01.ASX</v>
          </cell>
          <cell r="AA500">
            <v>121.86</v>
          </cell>
          <cell r="AB500" t="str">
            <v>GSF01.ASX</v>
          </cell>
          <cell r="AD500" t="str">
            <v>GSF01.ASX</v>
          </cell>
          <cell r="AF500" t="str">
            <v>GSF01.ASX</v>
          </cell>
          <cell r="AG500">
            <v>77.900000000000006</v>
          </cell>
        </row>
        <row r="501">
          <cell r="A501" t="str">
            <v>GSF02</v>
          </cell>
          <cell r="B501" t="str">
            <v>GSF02.ASX</v>
          </cell>
          <cell r="C501" t="str">
            <v>GSF02.ASX</v>
          </cell>
          <cell r="D501">
            <v>1</v>
          </cell>
          <cell r="E501">
            <v>22000</v>
          </cell>
          <cell r="F501">
            <v>132.86000000000001</v>
          </cell>
          <cell r="G501">
            <v>16960.91</v>
          </cell>
          <cell r="J501" t="str">
            <v>GSF02.ASX</v>
          </cell>
          <cell r="K501" t="str">
            <v>GSF02</v>
          </cell>
          <cell r="L501">
            <v>1</v>
          </cell>
          <cell r="M501">
            <v>1969275690</v>
          </cell>
          <cell r="N501">
            <v>103765.08</v>
          </cell>
          <cell r="O501">
            <v>43166</v>
          </cell>
          <cell r="P501" t="str">
            <v>GSF0002Au</v>
          </cell>
          <cell r="Q501" t="str">
            <v>Gsamuel Epoch Glb Eq Sharehlderyld(Unhedged)(Cl A)</v>
          </cell>
          <cell r="R501" t="str">
            <v>Yowie Group Ltd</v>
          </cell>
          <cell r="T501">
            <v>1.85582</v>
          </cell>
          <cell r="X501" t="str">
            <v>GSF02.ASX</v>
          </cell>
          <cell r="Y501">
            <v>129.97</v>
          </cell>
          <cell r="Z501" t="str">
            <v>GSF02.ASX</v>
          </cell>
          <cell r="AA501">
            <v>67.3</v>
          </cell>
          <cell r="AB501" t="str">
            <v>GSF02.ASX</v>
          </cell>
          <cell r="AD501" t="str">
            <v>GSF02.ASX</v>
          </cell>
          <cell r="AF501" t="str">
            <v>GSF02.ASX</v>
          </cell>
          <cell r="AG501">
            <v>132.86000000000001</v>
          </cell>
        </row>
        <row r="502">
          <cell r="A502" t="str">
            <v>HYN01</v>
          </cell>
          <cell r="B502" t="str">
            <v>HYN01.ASX</v>
          </cell>
          <cell r="C502" t="str">
            <v>HYN01.ASX</v>
          </cell>
          <cell r="D502" t="str">
            <v>0</v>
          </cell>
          <cell r="E502" t="str">
            <v>0</v>
          </cell>
          <cell r="F502">
            <v>398.64</v>
          </cell>
          <cell r="G502" t="str">
            <v>0</v>
          </cell>
          <cell r="J502" t="str">
            <v>HYN01.ASX</v>
          </cell>
          <cell r="K502" t="str">
            <v>HYN01</v>
          </cell>
          <cell r="L502">
            <v>1</v>
          </cell>
          <cell r="M502">
            <v>1098240000</v>
          </cell>
          <cell r="N502">
            <v>3117746.0928000002</v>
          </cell>
          <cell r="O502">
            <v>42061</v>
          </cell>
          <cell r="P502" t="str">
            <v>Bnt0003Au</v>
          </cell>
          <cell r="Q502" t="str">
            <v>Hyperion Australian Growth Companies Fund</v>
          </cell>
          <cell r="R502" t="str">
            <v>Pinnacle Fund Services Limited(Hyperion)</v>
          </cell>
          <cell r="T502">
            <v>9.5987110000000015</v>
          </cell>
          <cell r="X502" t="str">
            <v>HYN01.ASX</v>
          </cell>
          <cell r="Y502">
            <v>383.24</v>
          </cell>
          <cell r="Z502" t="str">
            <v>HYN01.ASX</v>
          </cell>
          <cell r="AA502">
            <v>354.73</v>
          </cell>
          <cell r="AB502" t="str">
            <v>HYN01.ASX</v>
          </cell>
          <cell r="AC502">
            <v>324.02999999999997</v>
          </cell>
          <cell r="AD502" t="str">
            <v>HYN01.ASX</v>
          </cell>
          <cell r="AF502" t="str">
            <v>HYN01.ASX</v>
          </cell>
          <cell r="AG502">
            <v>398.64</v>
          </cell>
        </row>
        <row r="503">
          <cell r="A503" t="str">
            <v>HYN02</v>
          </cell>
          <cell r="B503" t="str">
            <v>HYN02.ASX</v>
          </cell>
          <cell r="C503" t="str">
            <v>HYN02.ASX</v>
          </cell>
          <cell r="D503" t="str">
            <v>0</v>
          </cell>
          <cell r="E503" t="str">
            <v>0</v>
          </cell>
          <cell r="F503">
            <v>521.44000000000005</v>
          </cell>
          <cell r="G503" t="str">
            <v>0</v>
          </cell>
          <cell r="J503" t="str">
            <v>HYN02.ASX</v>
          </cell>
          <cell r="K503" t="str">
            <v>HYN02</v>
          </cell>
          <cell r="L503">
            <v>1</v>
          </cell>
          <cell r="M503">
            <v>375330000</v>
          </cell>
          <cell r="N503">
            <v>200998.13380000001</v>
          </cell>
          <cell r="O503">
            <v>42061</v>
          </cell>
          <cell r="P503" t="str">
            <v>Bnt0101Au</v>
          </cell>
          <cell r="Q503" t="str">
            <v>Hyperion Small Growth Companies (Apps Closed)</v>
          </cell>
          <cell r="R503" t="str">
            <v>Pinnacle Fund Services Limited(Hyperion)</v>
          </cell>
          <cell r="T503">
            <v>7.6833219999999995</v>
          </cell>
          <cell r="X503" t="str">
            <v>HYN02.ASX</v>
          </cell>
          <cell r="Y503">
            <v>509.03</v>
          </cell>
          <cell r="Z503" t="str">
            <v>HYN02.ASX</v>
          </cell>
          <cell r="AA503">
            <v>483.88</v>
          </cell>
          <cell r="AB503" t="str">
            <v>HYN02.ASX</v>
          </cell>
          <cell r="AC503">
            <v>397.92</v>
          </cell>
          <cell r="AD503" t="str">
            <v>HYN02.ASX</v>
          </cell>
          <cell r="AF503" t="str">
            <v>HYN02.ASX</v>
          </cell>
          <cell r="AG503">
            <v>521.44000000000005</v>
          </cell>
        </row>
        <row r="504">
          <cell r="A504" t="str">
            <v>HYN03</v>
          </cell>
          <cell r="B504" t="str">
            <v>HYN03.ASX</v>
          </cell>
          <cell r="C504" t="str">
            <v>HYN03.ASX</v>
          </cell>
          <cell r="D504" t="str">
            <v>0</v>
          </cell>
          <cell r="E504" t="str">
            <v>0</v>
          </cell>
          <cell r="F504">
            <v>149.30000000000001</v>
          </cell>
          <cell r="G504" t="str">
            <v>0</v>
          </cell>
          <cell r="J504" t="str">
            <v>HYN03.ASX</v>
          </cell>
          <cell r="K504" t="str">
            <v>HYN03</v>
          </cell>
          <cell r="L504">
            <v>1</v>
          </cell>
          <cell r="M504">
            <v>1880000</v>
          </cell>
          <cell r="N504">
            <v>419829.16840000002</v>
          </cell>
          <cell r="O504">
            <v>42695</v>
          </cell>
          <cell r="P504" t="str">
            <v>Wht0070Au</v>
          </cell>
          <cell r="Q504" t="str">
            <v>Hyperion Global Growth Companies (Class A Units)</v>
          </cell>
          <cell r="R504" t="str">
            <v>Pinnacle Fund Services Limited(Hyperion)</v>
          </cell>
          <cell r="X504" t="str">
            <v>HYN03.ASX</v>
          </cell>
          <cell r="Y504">
            <v>143.72999999999999</v>
          </cell>
          <cell r="Z504" t="str">
            <v>HYN03.ASX</v>
          </cell>
          <cell r="AA504">
            <v>112.2</v>
          </cell>
          <cell r="AB504" t="str">
            <v>HYN03.ASX</v>
          </cell>
          <cell r="AD504" t="str">
            <v>HYN03.ASX</v>
          </cell>
          <cell r="AF504" t="str">
            <v>HYN03.ASX</v>
          </cell>
          <cell r="AG504">
            <v>149.30000000000001</v>
          </cell>
        </row>
        <row r="505">
          <cell r="A505" t="str">
            <v>HYN04</v>
          </cell>
          <cell r="B505" t="str">
            <v>HYN04.ASX</v>
          </cell>
          <cell r="C505" t="str">
            <v>HYN04.ASX</v>
          </cell>
          <cell r="D505">
            <v>4</v>
          </cell>
          <cell r="E505">
            <v>145000</v>
          </cell>
          <cell r="F505">
            <v>212.22</v>
          </cell>
          <cell r="G505">
            <v>68499.895199999999</v>
          </cell>
          <cell r="J505" t="str">
            <v>HYN04.ASX</v>
          </cell>
          <cell r="K505" t="str">
            <v>HYN04</v>
          </cell>
          <cell r="L505">
            <v>1</v>
          </cell>
          <cell r="M505">
            <v>0</v>
          </cell>
          <cell r="N505">
            <v>207809.8371</v>
          </cell>
          <cell r="O505">
            <v>43143</v>
          </cell>
          <cell r="P505" t="str">
            <v>Wht8435Au</v>
          </cell>
          <cell r="Q505" t="str">
            <v>Hyperion Global Growth Companies (Class B Units)</v>
          </cell>
          <cell r="R505" t="str">
            <v>Pinnacle Fund Services Limited(Hyperion)</v>
          </cell>
          <cell r="X505" t="str">
            <v>HYN04.ASX</v>
          </cell>
          <cell r="Y505">
            <v>202.74</v>
          </cell>
          <cell r="Z505" t="str">
            <v>HYN04.ASX</v>
          </cell>
          <cell r="AA505">
            <v>126.32</v>
          </cell>
          <cell r="AB505" t="str">
            <v>HYN04.ASX</v>
          </cell>
          <cell r="AD505" t="str">
            <v>HYN04.ASX</v>
          </cell>
          <cell r="AF505" t="str">
            <v>HYN04.ASX</v>
          </cell>
          <cell r="AG505">
            <v>212.22</v>
          </cell>
        </row>
        <row r="506">
          <cell r="A506" t="str">
            <v>IAL02</v>
          </cell>
          <cell r="B506" t="str">
            <v>IAL02.ASX</v>
          </cell>
          <cell r="C506" t="str">
            <v>IAL02.ASX</v>
          </cell>
          <cell r="D506">
            <v>4</v>
          </cell>
          <cell r="E506">
            <v>160000</v>
          </cell>
          <cell r="F506">
            <v>60.33</v>
          </cell>
          <cell r="G506">
            <v>267391.85900000005</v>
          </cell>
          <cell r="J506" t="str">
            <v>IAL02.ASX</v>
          </cell>
          <cell r="K506" t="str">
            <v>IAL02</v>
          </cell>
          <cell r="L506">
            <v>1</v>
          </cell>
          <cell r="M506">
            <v>11545750</v>
          </cell>
          <cell r="N506">
            <v>3652174.7030000002</v>
          </cell>
          <cell r="O506">
            <v>42248</v>
          </cell>
          <cell r="P506" t="str">
            <v>Gtu0102Au</v>
          </cell>
          <cell r="Q506" t="str">
            <v>Invesco Ws Global Opportunities Fund - Unhedged</v>
          </cell>
          <cell r="R506" t="str">
            <v>Invesco Australia Limited</v>
          </cell>
          <cell r="T506">
            <v>1.5813809999999999</v>
          </cell>
          <cell r="X506" t="str">
            <v>IAL02.ASX</v>
          </cell>
          <cell r="Y506">
            <v>59</v>
          </cell>
          <cell r="Z506" t="str">
            <v>IAL02.ASX</v>
          </cell>
          <cell r="AA506">
            <v>55.49</v>
          </cell>
          <cell r="AB506" t="str">
            <v>IAL02.ASX</v>
          </cell>
          <cell r="AC506">
            <v>82.105000000000004</v>
          </cell>
          <cell r="AD506" t="str">
            <v>IAL02.ASX</v>
          </cell>
          <cell r="AF506" t="str">
            <v>IAL02.ASX</v>
          </cell>
          <cell r="AG506">
            <v>60.33</v>
          </cell>
        </row>
        <row r="507">
          <cell r="A507" t="str">
            <v>IAL05</v>
          </cell>
          <cell r="B507" t="str">
            <v>IAL05.ASX</v>
          </cell>
          <cell r="C507" t="str">
            <v>IAL05.ASX</v>
          </cell>
          <cell r="D507">
            <v>3</v>
          </cell>
          <cell r="E507">
            <v>875.98</v>
          </cell>
          <cell r="F507">
            <v>121.79</v>
          </cell>
          <cell r="G507">
            <v>716.13799999999992</v>
          </cell>
          <cell r="J507" t="str">
            <v>IAL05.ASX</v>
          </cell>
          <cell r="K507" t="str">
            <v>IAL05</v>
          </cell>
          <cell r="L507">
            <v>1</v>
          </cell>
          <cell r="M507">
            <v>4689830</v>
          </cell>
          <cell r="N507">
            <v>813640.69900000002</v>
          </cell>
          <cell r="O507">
            <v>42248</v>
          </cell>
          <cell r="P507" t="str">
            <v>Cna0805Au</v>
          </cell>
          <cell r="Q507" t="str">
            <v>Invesco Wholesale Senior Secured Income Fund</v>
          </cell>
          <cell r="R507" t="str">
            <v>Invesco Australia Limited</v>
          </cell>
          <cell r="T507">
            <v>4.090878</v>
          </cell>
          <cell r="X507" t="str">
            <v>IAL05.ASX</v>
          </cell>
          <cell r="Y507">
            <v>122.32</v>
          </cell>
          <cell r="Z507" t="str">
            <v>IAL05.ASX</v>
          </cell>
          <cell r="AA507">
            <v>121.62</v>
          </cell>
          <cell r="AB507" t="str">
            <v>IAL05.ASX</v>
          </cell>
          <cell r="AC507">
            <v>111.139</v>
          </cell>
          <cell r="AD507" t="str">
            <v>IAL05.ASX</v>
          </cell>
          <cell r="AF507" t="str">
            <v>IAL05.ASX</v>
          </cell>
          <cell r="AG507">
            <v>121.79</v>
          </cell>
        </row>
        <row r="508">
          <cell r="A508" t="str">
            <v>IAL08</v>
          </cell>
          <cell r="B508" t="str">
            <v>IAL08.ASX</v>
          </cell>
          <cell r="C508" t="str">
            <v>IAL08.ASX</v>
          </cell>
          <cell r="D508">
            <v>2</v>
          </cell>
          <cell r="E508">
            <v>84320.260000000009</v>
          </cell>
          <cell r="F508">
            <v>78.069999999999993</v>
          </cell>
          <cell r="G508">
            <v>107469.102</v>
          </cell>
          <cell r="J508" t="str">
            <v>IAL08.ASX</v>
          </cell>
          <cell r="K508" t="str">
            <v>IAL08</v>
          </cell>
          <cell r="L508">
            <v>1</v>
          </cell>
          <cell r="M508">
            <v>46877130</v>
          </cell>
          <cell r="N508">
            <v>1080492.8319999999</v>
          </cell>
          <cell r="O508">
            <v>42248</v>
          </cell>
          <cell r="P508" t="str">
            <v>Gtu0008Au</v>
          </cell>
          <cell r="Q508" t="str">
            <v>Invesco Ws Global Opport Fund - Hedged - Class A</v>
          </cell>
          <cell r="R508" t="str">
            <v>Invesco Australia Limited</v>
          </cell>
          <cell r="X508" t="str">
            <v>IAL08.ASX</v>
          </cell>
          <cell r="Y508">
            <v>77.900000000000006</v>
          </cell>
          <cell r="Z508" t="str">
            <v>IAL08.ASX</v>
          </cell>
          <cell r="AA508">
            <v>69.16</v>
          </cell>
          <cell r="AB508" t="str">
            <v>IAL08.ASX</v>
          </cell>
          <cell r="AC508">
            <v>39.646999999999998</v>
          </cell>
          <cell r="AD508" t="str">
            <v>IAL08.ASX</v>
          </cell>
          <cell r="AF508" t="str">
            <v>IAL08.ASX</v>
          </cell>
          <cell r="AG508">
            <v>78.069999999999993</v>
          </cell>
        </row>
        <row r="509">
          <cell r="A509" t="str">
            <v>IAL11</v>
          </cell>
          <cell r="B509" t="str">
            <v>IAL11.ASX</v>
          </cell>
          <cell r="C509" t="str">
            <v>IAL11.ASX</v>
          </cell>
          <cell r="D509" t="str">
            <v>0</v>
          </cell>
          <cell r="E509" t="str">
            <v>0</v>
          </cell>
          <cell r="F509">
            <v>106.6</v>
          </cell>
          <cell r="G509" t="str">
            <v>0</v>
          </cell>
          <cell r="J509" t="str">
            <v>IAL11.ASX</v>
          </cell>
          <cell r="K509" t="str">
            <v>IAL11</v>
          </cell>
          <cell r="L509">
            <v>1</v>
          </cell>
          <cell r="M509">
            <v>13728670</v>
          </cell>
          <cell r="N509">
            <v>20966.558000000001</v>
          </cell>
          <cell r="O509">
            <v>42248</v>
          </cell>
          <cell r="P509" t="str">
            <v>Cna0811Au</v>
          </cell>
          <cell r="Q509" t="str">
            <v>Invesco Wholesale Australian Share Fund</v>
          </cell>
          <cell r="R509" t="str">
            <v>Invesco Australia Limited</v>
          </cell>
          <cell r="T509">
            <v>1.795526</v>
          </cell>
          <cell r="X509" t="str">
            <v>IAL11.ASX</v>
          </cell>
          <cell r="Y509">
            <v>102.33</v>
          </cell>
          <cell r="Z509" t="str">
            <v>IAL11.ASX</v>
          </cell>
          <cell r="AA509">
            <v>91.49</v>
          </cell>
          <cell r="AB509" t="str">
            <v>IAL11.ASX</v>
          </cell>
          <cell r="AC509">
            <v>149.14699999999999</v>
          </cell>
          <cell r="AD509" t="str">
            <v>IAL11.ASX</v>
          </cell>
          <cell r="AF509" t="str">
            <v>IAL11.ASX</v>
          </cell>
          <cell r="AG509">
            <v>106.6</v>
          </cell>
        </row>
        <row r="510">
          <cell r="A510" t="str">
            <v>IAL12</v>
          </cell>
          <cell r="B510" t="str">
            <v>IAL12.ASX</v>
          </cell>
          <cell r="C510" t="str">
            <v>IAL12.ASX</v>
          </cell>
          <cell r="D510" t="str">
            <v>0</v>
          </cell>
          <cell r="E510" t="str">
            <v>0</v>
          </cell>
          <cell r="F510">
            <v>296.25</v>
          </cell>
          <cell r="G510" t="str">
            <v>0</v>
          </cell>
          <cell r="J510" t="str">
            <v>IAL12.ASX</v>
          </cell>
          <cell r="K510" t="str">
            <v>IAL12</v>
          </cell>
          <cell r="L510">
            <v>1</v>
          </cell>
          <cell r="M510">
            <v>48539080</v>
          </cell>
          <cell r="N510">
            <v>0</v>
          </cell>
          <cell r="O510">
            <v>42248</v>
          </cell>
          <cell r="P510" t="str">
            <v>Cna0812Au</v>
          </cell>
          <cell r="Q510" t="str">
            <v>Invesco Wholesale Aus Small Companies Fund - Cl A</v>
          </cell>
          <cell r="R510" t="str">
            <v>Invesco Australia Limited</v>
          </cell>
          <cell r="T510">
            <v>1.402641</v>
          </cell>
          <cell r="X510" t="str">
            <v>IAL12.ASX</v>
          </cell>
          <cell r="Y510">
            <v>289.70999999999998</v>
          </cell>
          <cell r="Z510" t="str">
            <v>IAL12.ASX</v>
          </cell>
          <cell r="AA510">
            <v>241.24</v>
          </cell>
          <cell r="AB510" t="str">
            <v>IAL12.ASX</v>
          </cell>
          <cell r="AC510">
            <v>101.499</v>
          </cell>
          <cell r="AD510" t="str">
            <v>IAL12.ASX</v>
          </cell>
          <cell r="AF510" t="str">
            <v>IAL12.ASX</v>
          </cell>
          <cell r="AG510">
            <v>296.25</v>
          </cell>
        </row>
        <row r="511">
          <cell r="A511" t="str">
            <v>IAL18</v>
          </cell>
          <cell r="B511" t="str">
            <v>IAL18.ASX</v>
          </cell>
          <cell r="C511" t="str">
            <v>IAL18.ASX</v>
          </cell>
          <cell r="D511">
            <v>8</v>
          </cell>
          <cell r="E511">
            <v>235228.51</v>
          </cell>
          <cell r="F511">
            <v>103.08</v>
          </cell>
          <cell r="G511">
            <v>227302.43700000003</v>
          </cell>
          <cell r="J511" t="str">
            <v>IAL18.ASX</v>
          </cell>
          <cell r="K511" t="str">
            <v>IAL18</v>
          </cell>
          <cell r="L511">
            <v>1</v>
          </cell>
          <cell r="M511">
            <v>599496350</v>
          </cell>
          <cell r="N511">
            <v>1505523.8910000001</v>
          </cell>
          <cell r="O511">
            <v>42916</v>
          </cell>
          <cell r="P511" t="str">
            <v>Gtu0109Au</v>
          </cell>
          <cell r="Q511" t="str">
            <v>Invesco Wholsle Glbal Trgeted Retrns Fnd - Class A</v>
          </cell>
          <cell r="R511" t="str">
            <v>Invesco Australia Limited</v>
          </cell>
          <cell r="X511" t="str">
            <v>IAL18.ASX</v>
          </cell>
          <cell r="Y511">
            <v>102.88</v>
          </cell>
          <cell r="Z511" t="str">
            <v>IAL18.ASX</v>
          </cell>
          <cell r="AA511">
            <v>108.87</v>
          </cell>
          <cell r="AB511" t="str">
            <v>IAL18.ASX</v>
          </cell>
          <cell r="AC511">
            <v>100.861</v>
          </cell>
          <cell r="AD511" t="str">
            <v>IAL18.ASX</v>
          </cell>
          <cell r="AF511" t="str">
            <v>IAL18.ASX</v>
          </cell>
          <cell r="AG511">
            <v>103.08</v>
          </cell>
        </row>
        <row r="512">
          <cell r="A512" t="str">
            <v>IAL41</v>
          </cell>
          <cell r="B512" t="str">
            <v>IAL41.ASX</v>
          </cell>
          <cell r="C512" t="str">
            <v>IAL41.ASX</v>
          </cell>
          <cell r="D512">
            <v>1</v>
          </cell>
          <cell r="E512">
            <v>712.63</v>
          </cell>
          <cell r="F512">
            <v>124.3</v>
          </cell>
          <cell r="G512">
            <v>578.10500000000002</v>
          </cell>
          <cell r="J512" t="str">
            <v>IAL41.ASX</v>
          </cell>
          <cell r="K512" t="str">
            <v>IAL41</v>
          </cell>
          <cell r="L512">
            <v>1</v>
          </cell>
          <cell r="M512">
            <v>209440550</v>
          </cell>
          <cell r="N512">
            <v>17267.638999999999</v>
          </cell>
          <cell r="O512">
            <v>42248</v>
          </cell>
          <cell r="P512" t="str">
            <v>Gtu0041Au</v>
          </cell>
          <cell r="Q512" t="str">
            <v>Invesco Ws Glb Prop Securities - Hedged - Class A</v>
          </cell>
          <cell r="R512" t="str">
            <v>Invesco Australia Limited</v>
          </cell>
          <cell r="X512" t="str">
            <v>IAL41.ASX</v>
          </cell>
          <cell r="Y512">
            <v>125.76</v>
          </cell>
          <cell r="Z512" t="str">
            <v>IAL41.ASX</v>
          </cell>
          <cell r="AA512">
            <v>125.63</v>
          </cell>
          <cell r="AB512" t="str">
            <v>IAL41.ASX</v>
          </cell>
          <cell r="AC512">
            <v>89.12</v>
          </cell>
          <cell r="AD512" t="str">
            <v>IAL41.ASX</v>
          </cell>
          <cell r="AF512" t="str">
            <v>IAL41.ASX</v>
          </cell>
          <cell r="AG512">
            <v>124.3</v>
          </cell>
        </row>
        <row r="513">
          <cell r="A513" t="str">
            <v>IBB01</v>
          </cell>
          <cell r="B513" t="str">
            <v>IBB01.ASX</v>
          </cell>
          <cell r="C513" t="str">
            <v>IBB01.ASX</v>
          </cell>
          <cell r="D513">
            <v>1</v>
          </cell>
          <cell r="E513">
            <v>42795.68</v>
          </cell>
          <cell r="F513">
            <v>103.98699999999999</v>
          </cell>
          <cell r="G513">
            <v>40564.239999999998</v>
          </cell>
          <cell r="J513" t="str">
            <v>IBB01.ASX</v>
          </cell>
          <cell r="K513" t="str">
            <v>IBB01</v>
          </cell>
          <cell r="L513">
            <v>1</v>
          </cell>
          <cell r="M513">
            <v>1207629760</v>
          </cell>
          <cell r="N513">
            <v>1621018.52</v>
          </cell>
          <cell r="O513">
            <v>41767</v>
          </cell>
          <cell r="P513" t="str">
            <v>Int0052Au</v>
          </cell>
          <cell r="Q513" t="str">
            <v>Morningstar International Shares (Unhedged) Fund</v>
          </cell>
          <cell r="R513" t="str">
            <v>Morningstar Investment Management Australia Limited</v>
          </cell>
          <cell r="S513">
            <v>0</v>
          </cell>
          <cell r="T513">
            <v>0.73778699999999997</v>
          </cell>
          <cell r="X513" t="str">
            <v>IBB01.ASX</v>
          </cell>
          <cell r="Y513">
            <v>102.879</v>
          </cell>
          <cell r="Z513" t="str">
            <v>IBB01.ASX</v>
          </cell>
          <cell r="AA513">
            <v>92.412000000000006</v>
          </cell>
          <cell r="AB513" t="str">
            <v>IBB01.ASX</v>
          </cell>
          <cell r="AC513">
            <v>82.980999999999995</v>
          </cell>
          <cell r="AD513" t="str">
            <v>IBB01.ASX</v>
          </cell>
          <cell r="AF513" t="str">
            <v>IBB01.ASX</v>
          </cell>
          <cell r="AG513">
            <v>103.98699999999999</v>
          </cell>
        </row>
        <row r="514">
          <cell r="A514" t="str">
            <v>IBB03</v>
          </cell>
          <cell r="B514" t="str">
            <v>IBB03.ASX</v>
          </cell>
          <cell r="C514" t="str">
            <v>IBB03.ASX</v>
          </cell>
          <cell r="D514" t="str">
            <v>0</v>
          </cell>
          <cell r="E514" t="str">
            <v>0</v>
          </cell>
          <cell r="F514">
            <v>123.544</v>
          </cell>
          <cell r="G514" t="str">
            <v>0</v>
          </cell>
          <cell r="J514" t="str">
            <v>IBB03.ASX</v>
          </cell>
          <cell r="K514" t="str">
            <v>IBB03</v>
          </cell>
          <cell r="L514">
            <v>1</v>
          </cell>
          <cell r="M514">
            <v>271244920</v>
          </cell>
          <cell r="N514">
            <v>92679.63</v>
          </cell>
          <cell r="O514">
            <v>41767</v>
          </cell>
          <cell r="P514" t="str">
            <v>Int0077Au</v>
          </cell>
          <cell r="Q514" t="str">
            <v>Morningstar Global Property Securities (H) Fund</v>
          </cell>
          <cell r="R514" t="str">
            <v>Morningstar Investment Management Australia Limited</v>
          </cell>
          <cell r="S514">
            <v>0</v>
          </cell>
          <cell r="T514">
            <v>2.7816900000000002</v>
          </cell>
          <cell r="X514" t="str">
            <v>IBB03.ASX</v>
          </cell>
          <cell r="Y514">
            <v>119.861</v>
          </cell>
          <cell r="Z514" t="str">
            <v>IBB03.ASX</v>
          </cell>
          <cell r="AA514">
            <v>117.85</v>
          </cell>
          <cell r="AB514" t="str">
            <v>IBB03.ASX</v>
          </cell>
          <cell r="AC514">
            <v>106.687</v>
          </cell>
          <cell r="AD514" t="str">
            <v>IBB03.ASX</v>
          </cell>
          <cell r="AF514" t="str">
            <v>IBB03.ASX</v>
          </cell>
          <cell r="AG514">
            <v>123.544</v>
          </cell>
        </row>
        <row r="515">
          <cell r="A515" t="str">
            <v>IBB04</v>
          </cell>
          <cell r="B515" t="str">
            <v>IBB04.ASX</v>
          </cell>
          <cell r="C515" t="str">
            <v>IBB04.ASX</v>
          </cell>
          <cell r="D515">
            <v>4</v>
          </cell>
          <cell r="E515">
            <v>221480.66</v>
          </cell>
          <cell r="F515">
            <v>47.31</v>
          </cell>
          <cell r="G515">
            <v>457318.52999999997</v>
          </cell>
          <cell r="J515" t="str">
            <v>IBB04.ASX</v>
          </cell>
          <cell r="K515" t="str">
            <v>IBB04</v>
          </cell>
          <cell r="L515">
            <v>1</v>
          </cell>
          <cell r="M515">
            <v>470471950</v>
          </cell>
          <cell r="N515">
            <v>2685361.32</v>
          </cell>
          <cell r="O515">
            <v>41767</v>
          </cell>
          <cell r="P515" t="str">
            <v>Int0050Au</v>
          </cell>
          <cell r="Q515" t="str">
            <v>Morningstar International Shares (Hedged) Fund</v>
          </cell>
          <cell r="R515" t="str">
            <v>Morningstar Investment Management Australia Limited</v>
          </cell>
          <cell r="S515">
            <v>0</v>
          </cell>
          <cell r="T515">
            <v>0.27893199999999996</v>
          </cell>
          <cell r="X515" t="str">
            <v>IBB04.ASX</v>
          </cell>
          <cell r="Y515">
            <v>47.575000000000003</v>
          </cell>
          <cell r="Z515" t="str">
            <v>IBB04.ASX</v>
          </cell>
          <cell r="AA515">
            <v>43.210999999999999</v>
          </cell>
          <cell r="AB515" t="str">
            <v>IBB04.ASX</v>
          </cell>
          <cell r="AC515">
            <v>39.348999999999997</v>
          </cell>
          <cell r="AD515" t="str">
            <v>IBB04.ASX</v>
          </cell>
          <cell r="AF515" t="str">
            <v>IBB04.ASX</v>
          </cell>
          <cell r="AG515">
            <v>47.31</v>
          </cell>
        </row>
        <row r="516">
          <cell r="A516" t="str">
            <v>IBB05</v>
          </cell>
          <cell r="B516" t="str">
            <v>IBB05.ASX</v>
          </cell>
          <cell r="C516" t="str">
            <v>IBB05.ASX</v>
          </cell>
          <cell r="D516" t="str">
            <v>0</v>
          </cell>
          <cell r="E516" t="str">
            <v>0</v>
          </cell>
          <cell r="F516">
            <v>192.887</v>
          </cell>
          <cell r="G516" t="str">
            <v>0</v>
          </cell>
          <cell r="J516" t="str">
            <v>IBB05.ASX</v>
          </cell>
          <cell r="K516" t="str">
            <v>IBB05</v>
          </cell>
          <cell r="L516">
            <v>1</v>
          </cell>
          <cell r="M516">
            <v>253391330</v>
          </cell>
          <cell r="N516">
            <v>98909.83</v>
          </cell>
          <cell r="O516">
            <v>41767</v>
          </cell>
          <cell r="P516" t="str">
            <v>Int0069Au</v>
          </cell>
          <cell r="Q516" t="str">
            <v>Morningstar International Shares High Opps(U) Fund</v>
          </cell>
          <cell r="R516" t="str">
            <v>Morningstar Investment Management Australia Limited</v>
          </cell>
          <cell r="S516">
            <v>0</v>
          </cell>
          <cell r="T516">
            <v>0.32175500000000001</v>
          </cell>
          <cell r="X516" t="str">
            <v>IBB05.ASX</v>
          </cell>
          <cell r="Y516">
            <v>189.69900000000001</v>
          </cell>
          <cell r="Z516" t="str">
            <v>IBB05.ASX</v>
          </cell>
          <cell r="AA516">
            <v>171.01300000000001</v>
          </cell>
          <cell r="AB516" t="str">
            <v>IBB05.ASX</v>
          </cell>
          <cell r="AC516">
            <v>150.66499999999999</v>
          </cell>
          <cell r="AD516" t="str">
            <v>IBB05.ASX</v>
          </cell>
          <cell r="AF516" t="str">
            <v>IBB05.ASX</v>
          </cell>
          <cell r="AG516">
            <v>192.887</v>
          </cell>
        </row>
        <row r="517">
          <cell r="A517" t="str">
            <v>IBB09</v>
          </cell>
          <cell r="B517" t="str">
            <v>IBB09.ASX</v>
          </cell>
          <cell r="C517" t="str">
            <v>IBB09.ASX</v>
          </cell>
          <cell r="D517" t="str">
            <v>0</v>
          </cell>
          <cell r="E517" t="str">
            <v>0</v>
          </cell>
          <cell r="F517">
            <v>101.008</v>
          </cell>
          <cell r="G517" t="str">
            <v>0</v>
          </cell>
          <cell r="J517" t="str">
            <v>IBB09.ASX</v>
          </cell>
          <cell r="K517" t="str">
            <v>IBB09</v>
          </cell>
          <cell r="L517">
            <v>1</v>
          </cell>
          <cell r="M517">
            <v>89834890</v>
          </cell>
          <cell r="N517">
            <v>212718.04</v>
          </cell>
          <cell r="O517">
            <v>41767</v>
          </cell>
          <cell r="P517" t="str">
            <v>Int0034Au</v>
          </cell>
          <cell r="Q517" t="str">
            <v>Morningstar Moderate Real Return Fund</v>
          </cell>
          <cell r="R517" t="str">
            <v>Morningstar Investment Management Australia Limited</v>
          </cell>
          <cell r="S517">
            <v>0</v>
          </cell>
          <cell r="T517">
            <v>1.1781359999999999</v>
          </cell>
          <cell r="X517" t="str">
            <v>IBB09.ASX</v>
          </cell>
          <cell r="Y517">
            <v>100.712</v>
          </cell>
          <cell r="Z517" t="str">
            <v>IBB09.ASX</v>
          </cell>
          <cell r="AA517">
            <v>102.902</v>
          </cell>
          <cell r="AB517" t="str">
            <v>IBB09.ASX</v>
          </cell>
          <cell r="AC517">
            <v>100.926</v>
          </cell>
          <cell r="AD517" t="str">
            <v>IBB09.ASX</v>
          </cell>
          <cell r="AF517" t="str">
            <v>IBB09.ASX</v>
          </cell>
          <cell r="AG517">
            <v>101.008</v>
          </cell>
        </row>
        <row r="518">
          <cell r="A518" t="str">
            <v>IBB10</v>
          </cell>
          <cell r="B518" t="str">
            <v>IBB10.ASX</v>
          </cell>
          <cell r="C518" t="str">
            <v>IBB10.ASX</v>
          </cell>
          <cell r="D518">
            <v>1</v>
          </cell>
          <cell r="E518">
            <v>15000</v>
          </cell>
          <cell r="F518">
            <v>96.376999999999995</v>
          </cell>
          <cell r="G518">
            <v>15532.45</v>
          </cell>
          <cell r="J518" t="str">
            <v>IBB10.ASX</v>
          </cell>
          <cell r="K518" t="str">
            <v>IBB10</v>
          </cell>
          <cell r="L518">
            <v>1</v>
          </cell>
          <cell r="M518">
            <v>198547530</v>
          </cell>
          <cell r="N518">
            <v>4709315.67</v>
          </cell>
          <cell r="O518">
            <v>41767</v>
          </cell>
          <cell r="P518" t="str">
            <v>Int0028Au</v>
          </cell>
          <cell r="Q518" t="str">
            <v>Morningstar Balanced Real Return Fund</v>
          </cell>
          <cell r="R518" t="str">
            <v>Morningstar Investment Management Australia Limited</v>
          </cell>
          <cell r="S518">
            <v>0</v>
          </cell>
          <cell r="T518">
            <v>1.1208450000000001</v>
          </cell>
          <cell r="X518" t="str">
            <v>IBB10.ASX</v>
          </cell>
          <cell r="Y518">
            <v>95.936999999999998</v>
          </cell>
          <cell r="Z518" t="str">
            <v>IBB10.ASX</v>
          </cell>
          <cell r="AA518">
            <v>100.319</v>
          </cell>
          <cell r="AB518" t="str">
            <v>IBB10.ASX</v>
          </cell>
          <cell r="AC518">
            <v>99.858999999999995</v>
          </cell>
          <cell r="AD518" t="str">
            <v>IBB10.ASX</v>
          </cell>
          <cell r="AF518" t="str">
            <v>IBB10.ASX</v>
          </cell>
          <cell r="AG518">
            <v>96.376999999999995</v>
          </cell>
        </row>
        <row r="519">
          <cell r="A519" t="str">
            <v>IBB11</v>
          </cell>
          <cell r="B519" t="str">
            <v>IBB11.ASX</v>
          </cell>
          <cell r="C519" t="str">
            <v>IBB11.ASX</v>
          </cell>
          <cell r="D519">
            <v>3</v>
          </cell>
          <cell r="E519">
            <v>120000</v>
          </cell>
          <cell r="F519">
            <v>91.15</v>
          </cell>
          <cell r="G519">
            <v>131393.54</v>
          </cell>
          <cell r="J519" t="str">
            <v>IBB11.ASX</v>
          </cell>
          <cell r="K519" t="str">
            <v>IBB11</v>
          </cell>
          <cell r="L519">
            <v>1</v>
          </cell>
          <cell r="M519">
            <v>357130280</v>
          </cell>
          <cell r="N519">
            <v>4364297.13</v>
          </cell>
          <cell r="O519">
            <v>41767</v>
          </cell>
          <cell r="P519" t="str">
            <v>Int0038Au</v>
          </cell>
          <cell r="Q519" t="str">
            <v>Morningstar Growth Real Return Fund</v>
          </cell>
          <cell r="R519" t="str">
            <v>Morningstar Investment Management Australia Limited</v>
          </cell>
          <cell r="S519">
            <v>0</v>
          </cell>
          <cell r="T519">
            <v>1.05084</v>
          </cell>
          <cell r="X519" t="str">
            <v>IBB11.ASX</v>
          </cell>
          <cell r="Y519">
            <v>90.6</v>
          </cell>
          <cell r="Z519" t="str">
            <v>IBB11.ASX</v>
          </cell>
          <cell r="AA519">
            <v>93.953000000000003</v>
          </cell>
          <cell r="AB519" t="str">
            <v>IBB11.ASX</v>
          </cell>
          <cell r="AC519">
            <v>87.894000000000005</v>
          </cell>
          <cell r="AD519" t="str">
            <v>IBB11.ASX</v>
          </cell>
          <cell r="AF519" t="str">
            <v>IBB11.ASX</v>
          </cell>
          <cell r="AG519">
            <v>91.15</v>
          </cell>
        </row>
        <row r="520">
          <cell r="A520" t="str">
            <v>IBB12</v>
          </cell>
          <cell r="B520" t="str">
            <v>IBB12.ASX</v>
          </cell>
          <cell r="C520" t="str">
            <v>IBB12.ASX</v>
          </cell>
          <cell r="D520">
            <v>8</v>
          </cell>
          <cell r="E520">
            <v>347227.15</v>
          </cell>
          <cell r="F520">
            <v>90.988</v>
          </cell>
          <cell r="G520">
            <v>372714.5</v>
          </cell>
          <cell r="J520" t="str">
            <v>IBB12.ASX</v>
          </cell>
          <cell r="K520" t="str">
            <v>IBB12</v>
          </cell>
          <cell r="L520">
            <v>1</v>
          </cell>
          <cell r="M520">
            <v>33498109.999999996</v>
          </cell>
          <cell r="N520">
            <v>3108291.0190019999</v>
          </cell>
          <cell r="O520">
            <v>41767</v>
          </cell>
          <cell r="P520" t="str">
            <v>Int0042Au</v>
          </cell>
          <cell r="Q520" t="str">
            <v>Morningstar High Growth Real Return Fund</v>
          </cell>
          <cell r="R520" t="str">
            <v>Morningstar Investment Management Australia Limited</v>
          </cell>
          <cell r="S520">
            <v>0</v>
          </cell>
          <cell r="T520">
            <v>1.1246969999999998</v>
          </cell>
          <cell r="X520" t="str">
            <v>IBB12.ASX</v>
          </cell>
          <cell r="Y520">
            <v>90.233000000000004</v>
          </cell>
          <cell r="Z520" t="str">
            <v>IBB12.ASX</v>
          </cell>
          <cell r="AA520">
            <v>100.589</v>
          </cell>
          <cell r="AB520" t="str">
            <v>IBB12.ASX</v>
          </cell>
          <cell r="AC520">
            <v>92.241</v>
          </cell>
          <cell r="AD520" t="str">
            <v>IBB12.ASX</v>
          </cell>
          <cell r="AF520" t="str">
            <v>IBB12.ASX</v>
          </cell>
          <cell r="AG520">
            <v>90.988</v>
          </cell>
        </row>
        <row r="521">
          <cell r="A521" t="str">
            <v>IBB13</v>
          </cell>
          <cell r="B521" t="str">
            <v>IBB13.ASX</v>
          </cell>
          <cell r="C521" t="str">
            <v>IBB13.ASX</v>
          </cell>
          <cell r="D521">
            <v>3</v>
          </cell>
          <cell r="E521">
            <v>60000</v>
          </cell>
          <cell r="F521">
            <v>101.624</v>
          </cell>
          <cell r="G521">
            <v>59062.380000000005</v>
          </cell>
          <cell r="J521" t="str">
            <v>IBB13.ASX</v>
          </cell>
          <cell r="K521" t="str">
            <v>IBB13</v>
          </cell>
          <cell r="L521">
            <v>1</v>
          </cell>
          <cell r="M521">
            <v>185241840</v>
          </cell>
          <cell r="N521">
            <v>684661.67</v>
          </cell>
          <cell r="O521">
            <v>41767</v>
          </cell>
          <cell r="P521" t="str">
            <v>Int0040Au</v>
          </cell>
          <cell r="Q521" t="str">
            <v>Morningstar Multi Asset Real Return Fund</v>
          </cell>
          <cell r="R521" t="str">
            <v>Morningstar Investment Management Australia Limited</v>
          </cell>
          <cell r="S521">
            <v>0</v>
          </cell>
          <cell r="T521">
            <v>1.0801479999999999</v>
          </cell>
          <cell r="X521" t="str">
            <v>IBB13.ASX</v>
          </cell>
          <cell r="Y521">
            <v>101.10899999999999</v>
          </cell>
          <cell r="Z521" t="str">
            <v>IBB13.ASX</v>
          </cell>
          <cell r="AA521">
            <v>101.04300000000001</v>
          </cell>
          <cell r="AB521" t="str">
            <v>IBB13.ASX</v>
          </cell>
          <cell r="AC521">
            <v>94.231999999999999</v>
          </cell>
          <cell r="AD521" t="str">
            <v>IBB13.ASX</v>
          </cell>
          <cell r="AF521" t="str">
            <v>IBB13.ASX</v>
          </cell>
          <cell r="AG521">
            <v>101.624</v>
          </cell>
        </row>
        <row r="522">
          <cell r="A522" t="str">
            <v>INS01</v>
          </cell>
          <cell r="B522" t="str">
            <v>INS01.ASX</v>
          </cell>
          <cell r="C522" t="str">
            <v>INS01.ASX</v>
          </cell>
          <cell r="D522">
            <v>4</v>
          </cell>
          <cell r="E522">
            <v>210000</v>
          </cell>
          <cell r="F522">
            <v>202.95</v>
          </cell>
          <cell r="G522">
            <v>104099.1871</v>
          </cell>
          <cell r="J522" t="str">
            <v>INS01.ASX</v>
          </cell>
          <cell r="K522" t="str">
            <v>INS01</v>
          </cell>
          <cell r="L522">
            <v>1</v>
          </cell>
          <cell r="M522">
            <v>11570950</v>
          </cell>
          <cell r="N522">
            <v>3774100.0865000002</v>
          </cell>
          <cell r="O522">
            <v>41912</v>
          </cell>
          <cell r="P522" t="str">
            <v>Slt0041Au</v>
          </cell>
          <cell r="Q522" t="str">
            <v>Insync Global Titans Fund</v>
          </cell>
          <cell r="R522" t="str">
            <v>Insync Funds Mgmt (Eqt Re Serv Ltd)</v>
          </cell>
          <cell r="X522" t="str">
            <v>INS01.ASX</v>
          </cell>
          <cell r="Y522">
            <v>195.95</v>
          </cell>
          <cell r="Z522" t="str">
            <v>INS01.ASX</v>
          </cell>
          <cell r="AA522">
            <v>177.15</v>
          </cell>
          <cell r="AB522" t="str">
            <v>INS01.ASX</v>
          </cell>
          <cell r="AC522">
            <v>165.23</v>
          </cell>
          <cell r="AD522" t="str">
            <v>INS01.ASX</v>
          </cell>
          <cell r="AF522" t="str">
            <v>INS01.ASX</v>
          </cell>
          <cell r="AG522">
            <v>202.95</v>
          </cell>
        </row>
        <row r="523">
          <cell r="A523" t="str">
            <v>IWM01</v>
          </cell>
          <cell r="B523" t="str">
            <v>IWM01.ASX</v>
          </cell>
          <cell r="C523" t="str">
            <v>IWM01.ASX</v>
          </cell>
          <cell r="D523" t="str">
            <v>0</v>
          </cell>
          <cell r="E523" t="str">
            <v>0</v>
          </cell>
          <cell r="F523">
            <v>101.49</v>
          </cell>
          <cell r="G523" t="str">
            <v>0</v>
          </cell>
          <cell r="J523" t="str">
            <v>IWM01.ASX</v>
          </cell>
          <cell r="K523" t="str">
            <v>IWM01</v>
          </cell>
          <cell r="L523">
            <v>1</v>
          </cell>
          <cell r="M523">
            <v>39651390</v>
          </cell>
          <cell r="N523">
            <v>58633.831700000002</v>
          </cell>
          <cell r="O523">
            <v>41767</v>
          </cell>
          <cell r="P523" t="str">
            <v>Etl0329Au</v>
          </cell>
          <cell r="Q523" t="str">
            <v>Alpha Diversified Income Fund</v>
          </cell>
          <cell r="R523" t="str">
            <v>Alpha Fund Managers (Equity Trustees Limited)</v>
          </cell>
          <cell r="S523">
            <v>0</v>
          </cell>
          <cell r="T523">
            <v>0.24067900339999998</v>
          </cell>
          <cell r="X523" t="str">
            <v>IWM01.ASX</v>
          </cell>
          <cell r="Y523">
            <v>100.94</v>
          </cell>
          <cell r="Z523" t="str">
            <v>IWM01.ASX</v>
          </cell>
          <cell r="AA523">
            <v>101.06</v>
          </cell>
          <cell r="AB523" t="str">
            <v>IWM01.ASX</v>
          </cell>
          <cell r="AC523">
            <v>102.05</v>
          </cell>
          <cell r="AD523" t="str">
            <v>IWM01.ASX</v>
          </cell>
          <cell r="AF523" t="str">
            <v>IWM01.ASX</v>
          </cell>
          <cell r="AG523">
            <v>101.49</v>
          </cell>
        </row>
        <row r="524">
          <cell r="A524" t="str">
            <v>IWM02</v>
          </cell>
          <cell r="B524" t="str">
            <v>IWM02.ASX</v>
          </cell>
          <cell r="C524" t="str">
            <v>IWM02.ASX</v>
          </cell>
          <cell r="D524" t="str">
            <v>0</v>
          </cell>
          <cell r="E524" t="str">
            <v>0</v>
          </cell>
          <cell r="F524">
            <v>145.59</v>
          </cell>
          <cell r="G524" t="str">
            <v>0</v>
          </cell>
          <cell r="J524" t="str">
            <v>IWM02.ASX</v>
          </cell>
          <cell r="K524" t="str">
            <v>IWM02</v>
          </cell>
          <cell r="L524">
            <v>1</v>
          </cell>
          <cell r="M524">
            <v>14809320</v>
          </cell>
          <cell r="N524">
            <v>18496.596600000001</v>
          </cell>
          <cell r="O524">
            <v>41767</v>
          </cell>
          <cell r="P524" t="str">
            <v>Etl0319Au</v>
          </cell>
          <cell r="Q524" t="str">
            <v>Alpha Infrastructure Fund</v>
          </cell>
          <cell r="R524" t="str">
            <v>Alpha Fund Managers (Equity Trustees Limited)</v>
          </cell>
          <cell r="S524">
            <v>0</v>
          </cell>
          <cell r="T524">
            <v>3.4671057571000001</v>
          </cell>
          <cell r="X524" t="str">
            <v>IWM02.ASX</v>
          </cell>
          <cell r="Y524">
            <v>141.13999999999999</v>
          </cell>
          <cell r="Z524" t="str">
            <v>IWM02.ASX</v>
          </cell>
          <cell r="AA524">
            <v>145.13999999999999</v>
          </cell>
          <cell r="AB524" t="str">
            <v>IWM02.ASX</v>
          </cell>
          <cell r="AC524">
            <v>131.15</v>
          </cell>
          <cell r="AD524" t="str">
            <v>IWM02.ASX</v>
          </cell>
          <cell r="AF524" t="str">
            <v>IWM02.ASX</v>
          </cell>
          <cell r="AG524">
            <v>145.59</v>
          </cell>
        </row>
        <row r="525">
          <cell r="A525" t="str">
            <v>IWM03</v>
          </cell>
          <cell r="B525" t="str">
            <v>IWM03.ASX</v>
          </cell>
          <cell r="C525" t="str">
            <v>IWM03.ASX</v>
          </cell>
          <cell r="D525" t="str">
            <v>0</v>
          </cell>
          <cell r="E525" t="str">
            <v>0</v>
          </cell>
          <cell r="F525">
            <v>95.47</v>
          </cell>
          <cell r="G525" t="str">
            <v>0</v>
          </cell>
          <cell r="J525" t="str">
            <v>IWM03.ASX</v>
          </cell>
          <cell r="K525" t="str">
            <v>IWM03</v>
          </cell>
          <cell r="L525">
            <v>1</v>
          </cell>
          <cell r="M525">
            <v>50676530</v>
          </cell>
          <cell r="N525">
            <v>203177.3438</v>
          </cell>
          <cell r="O525">
            <v>41767</v>
          </cell>
          <cell r="P525" t="str">
            <v>Etl0091Au</v>
          </cell>
          <cell r="Q525" t="str">
            <v>Alpha Australian Blue Chip Fund</v>
          </cell>
          <cell r="R525" t="str">
            <v>Alpha Fund Managers (Equity Trustees Limited)</v>
          </cell>
          <cell r="S525">
            <v>0</v>
          </cell>
          <cell r="T525">
            <v>0.68641046449999998</v>
          </cell>
          <cell r="X525" t="str">
            <v>IWM03.ASX</v>
          </cell>
          <cell r="Y525">
            <v>92.31</v>
          </cell>
          <cell r="Z525" t="str">
            <v>IWM03.ASX</v>
          </cell>
          <cell r="AA525">
            <v>82.91</v>
          </cell>
          <cell r="AB525" t="str">
            <v>IWM03.ASX</v>
          </cell>
          <cell r="AC525">
            <v>76.290000000000006</v>
          </cell>
          <cell r="AD525" t="str">
            <v>IWM03.ASX</v>
          </cell>
          <cell r="AF525" t="str">
            <v>IWM03.ASX</v>
          </cell>
          <cell r="AG525">
            <v>95.47</v>
          </cell>
        </row>
        <row r="526">
          <cell r="A526" t="str">
            <v>IWM04</v>
          </cell>
          <cell r="B526" t="str">
            <v>IWM04.ASX</v>
          </cell>
          <cell r="C526" t="str">
            <v>IWM04.ASX</v>
          </cell>
          <cell r="D526" t="str">
            <v>0</v>
          </cell>
          <cell r="E526" t="str">
            <v>0</v>
          </cell>
          <cell r="F526">
            <v>49.31</v>
          </cell>
          <cell r="G526" t="str">
            <v>0</v>
          </cell>
          <cell r="J526" t="str">
            <v>IWM04.ASX</v>
          </cell>
          <cell r="K526" t="str">
            <v>IWM04</v>
          </cell>
          <cell r="L526">
            <v>1</v>
          </cell>
          <cell r="M526">
            <v>33378050</v>
          </cell>
          <cell r="N526">
            <v>53063.464699999997</v>
          </cell>
          <cell r="O526">
            <v>41767</v>
          </cell>
          <cell r="P526" t="str">
            <v>Etl0095Au</v>
          </cell>
          <cell r="Q526" t="str">
            <v>Alpha Property Securities Fund</v>
          </cell>
          <cell r="R526" t="str">
            <v>Alpha Fund Managers (Equity Trustees Limited)</v>
          </cell>
          <cell r="S526">
            <v>0</v>
          </cell>
          <cell r="T526">
            <v>0.69975097220000004</v>
          </cell>
          <cell r="X526" t="str">
            <v>IWM04.ASX</v>
          </cell>
          <cell r="Y526">
            <v>47.75</v>
          </cell>
          <cell r="Z526" t="str">
            <v>IWM04.ASX</v>
          </cell>
          <cell r="AA526">
            <v>45</v>
          </cell>
          <cell r="AB526" t="str">
            <v>IWM04.ASX</v>
          </cell>
          <cell r="AC526">
            <v>47.98</v>
          </cell>
          <cell r="AD526" t="str">
            <v>IWM04.ASX</v>
          </cell>
          <cell r="AF526" t="str">
            <v>IWM04.ASX</v>
          </cell>
          <cell r="AG526">
            <v>49.31</v>
          </cell>
        </row>
        <row r="527">
          <cell r="A527" t="str">
            <v>IWM05</v>
          </cell>
          <cell r="B527" t="str">
            <v>IWM05.ASX</v>
          </cell>
          <cell r="C527" t="str">
            <v>IWM05.ASX</v>
          </cell>
          <cell r="D527" t="str">
            <v>0</v>
          </cell>
          <cell r="E527" t="str">
            <v>0</v>
          </cell>
          <cell r="F527">
            <v>87.85</v>
          </cell>
          <cell r="G527" t="str">
            <v>0</v>
          </cell>
          <cell r="J527" t="str">
            <v>IWM05.ASX</v>
          </cell>
          <cell r="K527" t="str">
            <v>IWM05</v>
          </cell>
          <cell r="L527">
            <v>1</v>
          </cell>
          <cell r="M527">
            <v>35744890</v>
          </cell>
          <cell r="N527">
            <v>112637.98149999999</v>
          </cell>
          <cell r="O527">
            <v>41767</v>
          </cell>
          <cell r="P527" t="str">
            <v>Etl0093Au</v>
          </cell>
          <cell r="Q527" t="str">
            <v>Alpha Enhanced Yield Fund</v>
          </cell>
          <cell r="R527" t="str">
            <v>Alpha Fund Managers (Equity Trustees Limited)</v>
          </cell>
          <cell r="S527">
            <v>0</v>
          </cell>
          <cell r="T527">
            <v>3.7912670265999999</v>
          </cell>
          <cell r="X527" t="str">
            <v>IWM05.ASX</v>
          </cell>
          <cell r="Y527">
            <v>88.17</v>
          </cell>
          <cell r="Z527" t="str">
            <v>IWM05.ASX</v>
          </cell>
          <cell r="AA527">
            <v>91.14</v>
          </cell>
          <cell r="AB527" t="str">
            <v>IWM05.ASX</v>
          </cell>
          <cell r="AC527">
            <v>91.29</v>
          </cell>
          <cell r="AD527" t="str">
            <v>IWM05.ASX</v>
          </cell>
          <cell r="AF527" t="str">
            <v>IWM05.ASX</v>
          </cell>
          <cell r="AG527">
            <v>87.85</v>
          </cell>
        </row>
        <row r="528">
          <cell r="A528" t="str">
            <v>IWM06</v>
          </cell>
          <cell r="B528" t="str">
            <v>IWM06.ASX</v>
          </cell>
          <cell r="C528" t="str">
            <v>IWM06.ASX</v>
          </cell>
          <cell r="D528" t="str">
            <v>0</v>
          </cell>
          <cell r="E528" t="str">
            <v>0</v>
          </cell>
          <cell r="F528">
            <v>95.45</v>
          </cell>
          <cell r="G528" t="str">
            <v>0</v>
          </cell>
          <cell r="J528" t="str">
            <v>IWM06.ASX</v>
          </cell>
          <cell r="K528" t="str">
            <v>IWM06</v>
          </cell>
          <cell r="L528">
            <v>1</v>
          </cell>
          <cell r="M528">
            <v>56838410</v>
          </cell>
          <cell r="N528">
            <v>30651.857</v>
          </cell>
          <cell r="O528">
            <v>42359</v>
          </cell>
          <cell r="P528" t="str">
            <v>Etl0094Au</v>
          </cell>
          <cell r="Q528" t="str">
            <v>Alpha Global Opportunities Fund</v>
          </cell>
          <cell r="R528" t="str">
            <v>Alpha Fund Managers (Equity Trustees Limited)</v>
          </cell>
          <cell r="X528" t="str">
            <v>IWM06.ASX</v>
          </cell>
          <cell r="Y528">
            <v>94.42</v>
          </cell>
          <cell r="Z528" t="str">
            <v>IWM06.ASX</v>
          </cell>
          <cell r="AA528">
            <v>85.64</v>
          </cell>
          <cell r="AB528" t="str">
            <v>IWM06.ASX</v>
          </cell>
          <cell r="AC528">
            <v>86.524000000000001</v>
          </cell>
          <cell r="AD528" t="str">
            <v>IWM06.ASX</v>
          </cell>
          <cell r="AF528" t="str">
            <v>IWM06.ASX</v>
          </cell>
          <cell r="AG528">
            <v>95.45</v>
          </cell>
        </row>
        <row r="529">
          <cell r="A529" t="str">
            <v>IWM07</v>
          </cell>
          <cell r="B529" t="str">
            <v>IWM07.ASX</v>
          </cell>
          <cell r="C529" t="str">
            <v>IWM07.ASX</v>
          </cell>
          <cell r="D529" t="str">
            <v>0</v>
          </cell>
          <cell r="E529" t="str">
            <v>0</v>
          </cell>
          <cell r="F529">
            <v>86.09</v>
          </cell>
          <cell r="G529" t="str">
            <v>0</v>
          </cell>
          <cell r="J529" t="str">
            <v>IWM07.ASX</v>
          </cell>
          <cell r="K529" t="str">
            <v>IWM07</v>
          </cell>
          <cell r="L529">
            <v>1</v>
          </cell>
          <cell r="M529">
            <v>27745100</v>
          </cell>
          <cell r="N529">
            <v>47986.446600000003</v>
          </cell>
          <cell r="O529">
            <v>42359</v>
          </cell>
          <cell r="P529" t="str">
            <v>Etl0092Au</v>
          </cell>
          <cell r="Q529" t="str">
            <v>Alpha Australian Small Companies Fund</v>
          </cell>
          <cell r="R529" t="str">
            <v>Alpha Fund Managers (Equity Trustees Limited)</v>
          </cell>
          <cell r="X529" t="str">
            <v>IWM07.ASX</v>
          </cell>
          <cell r="Y529">
            <v>84.97</v>
          </cell>
          <cell r="Z529" t="str">
            <v>IWM07.ASX</v>
          </cell>
          <cell r="AA529">
            <v>72.599999999999994</v>
          </cell>
          <cell r="AB529" t="str">
            <v>IWM07.ASX</v>
          </cell>
          <cell r="AC529">
            <v>87.644000000000005</v>
          </cell>
          <cell r="AD529" t="str">
            <v>IWM07.ASX</v>
          </cell>
          <cell r="AF529" t="str">
            <v>IWM07.ASX</v>
          </cell>
          <cell r="AG529">
            <v>86.09</v>
          </cell>
        </row>
        <row r="530">
          <cell r="A530" t="str">
            <v>JHI02</v>
          </cell>
          <cell r="B530" t="str">
            <v>JHI02.ASX</v>
          </cell>
          <cell r="C530" t="str">
            <v>JHI02.ASX</v>
          </cell>
          <cell r="D530">
            <v>11</v>
          </cell>
          <cell r="E530">
            <v>650000</v>
          </cell>
          <cell r="F530">
            <v>106.87</v>
          </cell>
          <cell r="G530">
            <v>609070.27390000003</v>
          </cell>
          <cell r="J530" t="str">
            <v>JHI02.ASX</v>
          </cell>
          <cell r="K530" t="str">
            <v>JHI02</v>
          </cell>
          <cell r="L530">
            <v>1</v>
          </cell>
          <cell r="M530">
            <v>2909499380</v>
          </cell>
          <cell r="N530">
            <v>2982481.4191999999</v>
          </cell>
          <cell r="O530">
            <v>43007</v>
          </cell>
          <cell r="P530" t="str">
            <v>Iof0145Au</v>
          </cell>
          <cell r="Q530" t="str">
            <v>Janus Henderson Tactical Income Fund</v>
          </cell>
          <cell r="R530" t="str">
            <v>Janus Henderson Investors (Aus) Funds Mgmt (JHI)</v>
          </cell>
          <cell r="T530">
            <v>2.3841799999999997</v>
          </cell>
          <cell r="X530" t="str">
            <v>JHI02.ASX</v>
          </cell>
          <cell r="Y530">
            <v>106.6</v>
          </cell>
          <cell r="Z530" t="str">
            <v>JHI02.ASX</v>
          </cell>
          <cell r="AA530">
            <v>101.39</v>
          </cell>
          <cell r="AB530" t="str">
            <v>JHI02.ASX</v>
          </cell>
          <cell r="AC530">
            <v>155.82</v>
          </cell>
          <cell r="AD530" t="str">
            <v>JHI02.ASX</v>
          </cell>
          <cell r="AF530" t="str">
            <v>JHI02.ASX</v>
          </cell>
          <cell r="AG530">
            <v>106.87</v>
          </cell>
        </row>
        <row r="531">
          <cell r="A531" t="str">
            <v>JPM01</v>
          </cell>
          <cell r="B531" t="str">
            <v>JPM01.ASX</v>
          </cell>
          <cell r="C531" t="str">
            <v>JPM01.ASX</v>
          </cell>
          <cell r="D531">
            <v>3</v>
          </cell>
          <cell r="E531">
            <v>96062.75</v>
          </cell>
          <cell r="F531">
            <v>102.37</v>
          </cell>
          <cell r="G531">
            <v>93321.1054</v>
          </cell>
          <cell r="J531" t="str">
            <v>JPM01.ASX</v>
          </cell>
          <cell r="K531" t="str">
            <v>JPM01</v>
          </cell>
          <cell r="L531">
            <v>1</v>
          </cell>
          <cell r="M531">
            <v>51790000</v>
          </cell>
          <cell r="N531">
            <v>3421820.4575999998</v>
          </cell>
          <cell r="O531">
            <v>42445</v>
          </cell>
          <cell r="P531" t="str">
            <v>Per0727Au</v>
          </cell>
          <cell r="Q531" t="str">
            <v>Jpmorgan Global Strategic Bond Fund</v>
          </cell>
          <cell r="R531" t="str">
            <v>Jpmorgan Asset Management Aust (Ptsl)</v>
          </cell>
          <cell r="T531">
            <v>3.7462000000000004</v>
          </cell>
          <cell r="X531" t="str">
            <v>JPM01.ASX</v>
          </cell>
          <cell r="Y531">
            <v>102.18</v>
          </cell>
          <cell r="Z531" t="str">
            <v>JPM01.ASX</v>
          </cell>
          <cell r="AA531">
            <v>104.01</v>
          </cell>
          <cell r="AB531" t="str">
            <v>JPM01.ASX</v>
          </cell>
          <cell r="AC531">
            <v>86.350999999999999</v>
          </cell>
          <cell r="AD531" t="str">
            <v>JPM01.ASX</v>
          </cell>
          <cell r="AF531" t="str">
            <v>JPM01.ASX</v>
          </cell>
          <cell r="AG531">
            <v>102.37</v>
          </cell>
        </row>
        <row r="532">
          <cell r="A532" t="str">
            <v>JPM02</v>
          </cell>
          <cell r="B532" t="str">
            <v>JPM02.ASX</v>
          </cell>
          <cell r="C532" t="str">
            <v>JPM02.ASX</v>
          </cell>
          <cell r="D532" t="str">
            <v>0</v>
          </cell>
          <cell r="E532" t="str">
            <v>0</v>
          </cell>
          <cell r="F532">
            <v>95.27</v>
          </cell>
          <cell r="G532" t="str">
            <v>0</v>
          </cell>
          <cell r="J532" t="str">
            <v>JPM02.ASX</v>
          </cell>
          <cell r="K532" t="str">
            <v>JPM02</v>
          </cell>
          <cell r="L532">
            <v>1</v>
          </cell>
          <cell r="M532">
            <v>700000</v>
          </cell>
          <cell r="N532">
            <v>246855.538</v>
          </cell>
          <cell r="O532">
            <v>42445</v>
          </cell>
          <cell r="P532" t="str">
            <v>Per0716Au</v>
          </cell>
          <cell r="Q532" t="str">
            <v>Jpmorgan Global Bond Opportunities Fund</v>
          </cell>
          <cell r="R532" t="str">
            <v>Jpmorgan Asset Management Aust (Ptsl)</v>
          </cell>
          <cell r="T532">
            <v>3.9177</v>
          </cell>
          <cell r="X532" t="str">
            <v>JPM02.ASX</v>
          </cell>
          <cell r="Y532">
            <v>95.59</v>
          </cell>
          <cell r="Z532" t="str">
            <v>JPM02.ASX</v>
          </cell>
          <cell r="AA532">
            <v>97.62</v>
          </cell>
          <cell r="AB532" t="str">
            <v>JPM02.ASX</v>
          </cell>
          <cell r="AC532">
            <v>122.09</v>
          </cell>
          <cell r="AD532" t="str">
            <v>JPM02.ASX</v>
          </cell>
          <cell r="AF532" t="str">
            <v>JPM02.ASX</v>
          </cell>
          <cell r="AG532">
            <v>95.27</v>
          </cell>
        </row>
        <row r="533">
          <cell r="A533" t="str">
            <v>JPM03</v>
          </cell>
          <cell r="B533" t="str">
            <v>JPM03.ASX</v>
          </cell>
          <cell r="C533" t="str">
            <v>JPM03.ASX</v>
          </cell>
          <cell r="D533" t="str">
            <v>0</v>
          </cell>
          <cell r="E533" t="str">
            <v>0</v>
          </cell>
          <cell r="F533">
            <v>99.59</v>
          </cell>
          <cell r="G533" t="str">
            <v>0</v>
          </cell>
          <cell r="J533" t="str">
            <v>JPM03.ASX</v>
          </cell>
          <cell r="K533" t="str">
            <v>JPM03</v>
          </cell>
          <cell r="L533">
            <v>1</v>
          </cell>
          <cell r="M533">
            <v>560000</v>
          </cell>
          <cell r="N533">
            <v>0</v>
          </cell>
          <cell r="O533">
            <v>42445</v>
          </cell>
          <cell r="P533" t="str">
            <v>Per0750Au</v>
          </cell>
          <cell r="Q533" t="str">
            <v>Jpmorgan Global Bond Fund</v>
          </cell>
          <cell r="R533" t="str">
            <v>Jpmorgan Asset Management Aust (Ptsl)</v>
          </cell>
          <cell r="T533">
            <v>2.9714</v>
          </cell>
          <cell r="X533" t="str">
            <v>JPM03.ASX</v>
          </cell>
          <cell r="Y533">
            <v>99.59</v>
          </cell>
          <cell r="Z533" t="str">
            <v>JPM03.ASX</v>
          </cell>
          <cell r="AA533">
            <v>101.04</v>
          </cell>
          <cell r="AB533" t="str">
            <v>JPM03.ASX</v>
          </cell>
          <cell r="AC533">
            <v>129.08000000000001</v>
          </cell>
          <cell r="AD533" t="str">
            <v>JPM03.ASX</v>
          </cell>
          <cell r="AF533" t="str">
            <v>JPM03.ASX</v>
          </cell>
          <cell r="AG533">
            <v>99.59</v>
          </cell>
        </row>
        <row r="534">
          <cell r="A534" t="str">
            <v>JPM05</v>
          </cell>
          <cell r="B534" t="str">
            <v>JPM05.ASX</v>
          </cell>
          <cell r="C534" t="str">
            <v>JPM05.ASX</v>
          </cell>
          <cell r="D534" t="str">
            <v>0</v>
          </cell>
          <cell r="E534" t="str">
            <v>0</v>
          </cell>
          <cell r="F534">
            <v>131.52000000000001</v>
          </cell>
          <cell r="G534" t="str">
            <v>0</v>
          </cell>
          <cell r="J534" t="str">
            <v>JPM05.ASX</v>
          </cell>
          <cell r="K534" t="str">
            <v>JPM05</v>
          </cell>
          <cell r="L534">
            <v>1</v>
          </cell>
          <cell r="M534">
            <v>520000</v>
          </cell>
          <cell r="N534">
            <v>62567.375999999997</v>
          </cell>
          <cell r="O534">
            <v>42445</v>
          </cell>
          <cell r="P534" t="str">
            <v>Per0719Au</v>
          </cell>
          <cell r="Q534" t="str">
            <v>Jpmorgan Global Research Enhanced Index Equityfund</v>
          </cell>
          <cell r="R534" t="str">
            <v>Jpmorgan Asset Management Aust (Ptsl)</v>
          </cell>
          <cell r="T534">
            <v>11.667787000000001</v>
          </cell>
          <cell r="X534" t="str">
            <v>JPM05.ASX</v>
          </cell>
          <cell r="Y534">
            <v>128.21</v>
          </cell>
          <cell r="Z534" t="str">
            <v>JPM05.ASX</v>
          </cell>
          <cell r="AA534">
            <v>114.14</v>
          </cell>
          <cell r="AB534" t="str">
            <v>JPM05.ASX</v>
          </cell>
          <cell r="AC534">
            <v>130.94800000000001</v>
          </cell>
          <cell r="AD534" t="str">
            <v>JPM05.ASX</v>
          </cell>
          <cell r="AF534" t="str">
            <v>JPM05.ASX</v>
          </cell>
          <cell r="AG534">
            <v>131.52000000000001</v>
          </cell>
        </row>
        <row r="535">
          <cell r="A535" t="str">
            <v>JPM06</v>
          </cell>
          <cell r="B535" t="str">
            <v>JPM06.ASX</v>
          </cell>
          <cell r="C535" t="str">
            <v>JPM06.ASX</v>
          </cell>
          <cell r="D535" t="str">
            <v>0</v>
          </cell>
          <cell r="E535" t="str">
            <v>0</v>
          </cell>
          <cell r="F535">
            <v>126.43</v>
          </cell>
          <cell r="G535" t="str">
            <v>0</v>
          </cell>
          <cell r="J535" t="str">
            <v>JPM06.ASX</v>
          </cell>
          <cell r="K535" t="str">
            <v>JPM06</v>
          </cell>
          <cell r="L535">
            <v>1</v>
          </cell>
          <cell r="M535">
            <v>700000</v>
          </cell>
          <cell r="N535">
            <v>471948.6079</v>
          </cell>
          <cell r="O535">
            <v>42445</v>
          </cell>
          <cell r="P535" t="str">
            <v>Per0715Au</v>
          </cell>
          <cell r="Q535" t="str">
            <v>Jpmorgan Global Research Enhanced Indexequityhedge</v>
          </cell>
          <cell r="R535" t="str">
            <v>Jpmorgan Asset Management Aust (Ptsl)</v>
          </cell>
          <cell r="T535">
            <v>5.4675180000000001</v>
          </cell>
          <cell r="X535" t="str">
            <v>JPM06.ASX</v>
          </cell>
          <cell r="Y535">
            <v>125.22</v>
          </cell>
          <cell r="Z535" t="str">
            <v>JPM06.ASX</v>
          </cell>
          <cell r="AA535">
            <v>113.5</v>
          </cell>
          <cell r="AB535" t="str">
            <v>JPM06.ASX</v>
          </cell>
          <cell r="AC535">
            <v>163.511</v>
          </cell>
          <cell r="AD535" t="str">
            <v>JPM06.ASX</v>
          </cell>
          <cell r="AF535" t="str">
            <v>JPM06.ASX</v>
          </cell>
          <cell r="AG535">
            <v>126.43</v>
          </cell>
        </row>
        <row r="536">
          <cell r="A536" t="str">
            <v>JPM07</v>
          </cell>
          <cell r="B536" t="str">
            <v>JPM07.ASX</v>
          </cell>
          <cell r="C536" t="str">
            <v>JPM07.ASX</v>
          </cell>
          <cell r="D536">
            <v>3</v>
          </cell>
          <cell r="E536">
            <v>133248.38</v>
          </cell>
          <cell r="F536">
            <v>146.66999999999999</v>
          </cell>
          <cell r="G536">
            <v>89332.260999999999</v>
          </cell>
          <cell r="J536" t="str">
            <v>JPM07.ASX</v>
          </cell>
          <cell r="K536" t="str">
            <v>JPM07</v>
          </cell>
          <cell r="L536">
            <v>1</v>
          </cell>
          <cell r="M536">
            <v>1080000</v>
          </cell>
          <cell r="N536">
            <v>253325.59899999999</v>
          </cell>
          <cell r="O536">
            <v>42445</v>
          </cell>
          <cell r="P536" t="str">
            <v>Per0713Au</v>
          </cell>
          <cell r="Q536" t="str">
            <v>Jpmorgan Emerging Markets Opportunities Fund</v>
          </cell>
          <cell r="R536" t="str">
            <v>Jpmorgan Asset Management Aust (Ptsl)</v>
          </cell>
          <cell r="T536">
            <v>5.6005589999999996</v>
          </cell>
          <cell r="X536" t="str">
            <v>JPM07.ASX</v>
          </cell>
          <cell r="Y536">
            <v>147.04</v>
          </cell>
          <cell r="Z536" t="str">
            <v>JPM07.ASX</v>
          </cell>
          <cell r="AA536">
            <v>126.43</v>
          </cell>
          <cell r="AB536" t="str">
            <v>JPM07.ASX</v>
          </cell>
          <cell r="AC536">
            <v>102.30200000000001</v>
          </cell>
          <cell r="AD536" t="str">
            <v>JPM07.ASX</v>
          </cell>
          <cell r="AF536" t="str">
            <v>JPM07.ASX</v>
          </cell>
          <cell r="AG536">
            <v>146.66999999999999</v>
          </cell>
        </row>
        <row r="537">
          <cell r="A537" t="str">
            <v>JPM09</v>
          </cell>
          <cell r="B537" t="str">
            <v>JPM09.ASX</v>
          </cell>
          <cell r="C537" t="str">
            <v>JPM09.ASX</v>
          </cell>
          <cell r="D537" t="str">
            <v>0</v>
          </cell>
          <cell r="E537" t="str">
            <v>0</v>
          </cell>
          <cell r="F537">
            <v>99.73</v>
          </cell>
          <cell r="G537" t="str">
            <v>0</v>
          </cell>
          <cell r="J537" t="str">
            <v>JPM09.ASX</v>
          </cell>
          <cell r="K537" t="str">
            <v>JPM09</v>
          </cell>
          <cell r="L537">
            <v>1</v>
          </cell>
          <cell r="M537">
            <v>0</v>
          </cell>
          <cell r="N537">
            <v>0</v>
          </cell>
          <cell r="O537">
            <v>42991</v>
          </cell>
          <cell r="P537" t="str">
            <v>Per0755Au</v>
          </cell>
          <cell r="Q537" t="str">
            <v>Jpmorgan Systematic Alpha Fund</v>
          </cell>
          <cell r="R537" t="str">
            <v>Jpmorgan Asset Management Aust (Ptsl)</v>
          </cell>
          <cell r="X537" t="str">
            <v>JPM09.ASX</v>
          </cell>
          <cell r="Y537">
            <v>99.91</v>
          </cell>
          <cell r="Z537" t="str">
            <v>JPM09.ASX</v>
          </cell>
          <cell r="AA537">
            <v>122.52</v>
          </cell>
          <cell r="AB537" t="str">
            <v>JPM09.ASX</v>
          </cell>
          <cell r="AC537">
            <v>128.35400000000001</v>
          </cell>
          <cell r="AD537" t="str">
            <v>JPM09.ASX</v>
          </cell>
          <cell r="AF537" t="str">
            <v>JPM09.ASX</v>
          </cell>
          <cell r="AG537">
            <v>99.73</v>
          </cell>
        </row>
        <row r="538">
          <cell r="A538" t="str">
            <v>JPM10</v>
          </cell>
          <cell r="B538" t="str">
            <v>JPM10.ASX</v>
          </cell>
          <cell r="C538" t="str">
            <v>JPM10.ASX</v>
          </cell>
          <cell r="D538">
            <v>2</v>
          </cell>
          <cell r="E538">
            <v>78333.08</v>
          </cell>
          <cell r="F538">
            <v>113.91</v>
          </cell>
          <cell r="G538">
            <v>68350.290999999997</v>
          </cell>
          <cell r="J538" t="str">
            <v>JPM10.ASX</v>
          </cell>
          <cell r="K538" t="str">
            <v>JPM10</v>
          </cell>
          <cell r="L538">
            <v>1</v>
          </cell>
          <cell r="M538">
            <v>6160000</v>
          </cell>
          <cell r="N538">
            <v>407606.38500000001</v>
          </cell>
          <cell r="O538">
            <v>42991</v>
          </cell>
          <cell r="P538" t="str">
            <v>Per0758Au</v>
          </cell>
          <cell r="Q538" t="str">
            <v>Jpmorgan Global Macro Opportunities Fund</v>
          </cell>
          <cell r="R538" t="str">
            <v>Jpmorgan Asset Management Aust (Ptsl)</v>
          </cell>
          <cell r="T538">
            <v>7.6653989999999999</v>
          </cell>
          <cell r="X538" t="str">
            <v>JPM10.ASX</v>
          </cell>
          <cell r="Y538">
            <v>115.99</v>
          </cell>
          <cell r="Z538" t="str">
            <v>JPM10.ASX</v>
          </cell>
          <cell r="AA538">
            <v>112.994</v>
          </cell>
          <cell r="AB538" t="str">
            <v>JPM10.ASX</v>
          </cell>
          <cell r="AC538">
            <v>108.794</v>
          </cell>
          <cell r="AD538" t="str">
            <v>JPM10.ASX</v>
          </cell>
          <cell r="AF538" t="str">
            <v>JPM10.ASX</v>
          </cell>
          <cell r="AG538">
            <v>113.91</v>
          </cell>
        </row>
        <row r="539">
          <cell r="A539" t="str">
            <v>KAP01</v>
          </cell>
          <cell r="B539" t="str">
            <v>KAP01.ASX</v>
          </cell>
          <cell r="C539" t="str">
            <v>KAP01.ASX</v>
          </cell>
          <cell r="D539">
            <v>36</v>
          </cell>
          <cell r="E539">
            <v>2596323.59</v>
          </cell>
          <cell r="F539">
            <v>121.95</v>
          </cell>
          <cell r="G539">
            <v>2131363.8424000004</v>
          </cell>
          <cell r="J539" t="str">
            <v>KAP01.ASX</v>
          </cell>
          <cell r="K539" t="str">
            <v>KAP01</v>
          </cell>
          <cell r="L539">
            <v>1</v>
          </cell>
          <cell r="M539">
            <v>3640896170</v>
          </cell>
          <cell r="N539">
            <v>22393155.228500001</v>
          </cell>
          <cell r="O539">
            <v>42109</v>
          </cell>
          <cell r="P539" t="str">
            <v>How0052Au</v>
          </cell>
          <cell r="Q539" t="str">
            <v>Kapstream Absolute Return Income Fund</v>
          </cell>
          <cell r="R539" t="str">
            <v>Kapstream Capital (Fidante Partners Limited)</v>
          </cell>
          <cell r="T539">
            <v>2.54</v>
          </cell>
          <cell r="X539" t="str">
            <v>KAP01.ASX</v>
          </cell>
          <cell r="Y539">
            <v>121.73</v>
          </cell>
          <cell r="Z539" t="str">
            <v>KAP01.ASX</v>
          </cell>
          <cell r="AA539">
            <v>122.56</v>
          </cell>
          <cell r="AB539" t="str">
            <v>KAP01.ASX</v>
          </cell>
          <cell r="AC539">
            <v>122.14</v>
          </cell>
          <cell r="AD539" t="str">
            <v>KAP01.ASX</v>
          </cell>
          <cell r="AF539" t="str">
            <v>KAP01.ASX</v>
          </cell>
          <cell r="AG539">
            <v>121.95</v>
          </cell>
        </row>
        <row r="540">
          <cell r="A540" t="str">
            <v>LKH01</v>
          </cell>
          <cell r="B540" t="str">
            <v>LKH01.ASX</v>
          </cell>
          <cell r="C540" t="str">
            <v>LKH01.ASX</v>
          </cell>
          <cell r="D540" t="str">
            <v>0</v>
          </cell>
          <cell r="E540" t="str">
            <v>0</v>
          </cell>
          <cell r="F540">
            <v>107.98</v>
          </cell>
          <cell r="G540" t="str">
            <v>0</v>
          </cell>
          <cell r="J540" t="str">
            <v>LKH01.ASX</v>
          </cell>
          <cell r="K540" t="str">
            <v>LKH01</v>
          </cell>
          <cell r="L540">
            <v>1</v>
          </cell>
          <cell r="M540">
            <v>77275430</v>
          </cell>
          <cell r="N540">
            <v>0</v>
          </cell>
          <cell r="O540">
            <v>43185</v>
          </cell>
          <cell r="P540" t="str">
            <v>Omf1140Au</v>
          </cell>
          <cell r="Q540" t="str">
            <v>Lakehouse Global Growth Fund</v>
          </cell>
          <cell r="R540" t="str">
            <v>Lakehouse Capital (One Managd Investmnt)</v>
          </cell>
          <cell r="X540" t="str">
            <v>LKH01.ASX</v>
          </cell>
          <cell r="Y540">
            <v>104.96</v>
          </cell>
          <cell r="Z540" t="str">
            <v>LKH01.ASX</v>
          </cell>
          <cell r="AA540">
            <v>131.13999999999999</v>
          </cell>
          <cell r="AB540" t="str">
            <v>LKH01.ASX</v>
          </cell>
          <cell r="AC540">
            <v>133.23599999999999</v>
          </cell>
          <cell r="AD540" t="str">
            <v>LKH01.ASX</v>
          </cell>
          <cell r="AF540" t="str">
            <v>LKH01.ASX</v>
          </cell>
          <cell r="AG540">
            <v>107.98</v>
          </cell>
        </row>
        <row r="541">
          <cell r="A541" t="str">
            <v>LMA01</v>
          </cell>
          <cell r="B541" t="str">
            <v>LMA01.ASX</v>
          </cell>
          <cell r="C541" t="str">
            <v>LMA01.ASX</v>
          </cell>
          <cell r="D541">
            <v>2</v>
          </cell>
          <cell r="E541">
            <v>70378.03</v>
          </cell>
          <cell r="F541">
            <v>127.35599999999999</v>
          </cell>
          <cell r="G541">
            <v>55682.97</v>
          </cell>
          <cell r="J541" t="str">
            <v>LMA01.ASX</v>
          </cell>
          <cell r="K541" t="str">
            <v>LMA01</v>
          </cell>
          <cell r="L541">
            <v>1</v>
          </cell>
          <cell r="M541">
            <v>222239370</v>
          </cell>
          <cell r="N541">
            <v>1329166.1850000001</v>
          </cell>
          <cell r="O541">
            <v>41904</v>
          </cell>
          <cell r="P541" t="str">
            <v>Ssb0043Au</v>
          </cell>
          <cell r="Q541" t="str">
            <v>Legg Mason Martin Currie Equity Income Fund</v>
          </cell>
          <cell r="R541" t="str">
            <v>Legg Mason Asset Management Australia Limited</v>
          </cell>
          <cell r="T541">
            <v>4.1754785915000001</v>
          </cell>
          <cell r="X541" t="str">
            <v>LMA01.ASX</v>
          </cell>
          <cell r="Y541">
            <v>123.895</v>
          </cell>
          <cell r="Z541" t="str">
            <v>LMA01.ASX</v>
          </cell>
          <cell r="AA541">
            <v>130.22399999999999</v>
          </cell>
          <cell r="AB541" t="str">
            <v>LMA01.ASX</v>
          </cell>
          <cell r="AC541">
            <v>124.524</v>
          </cell>
          <cell r="AD541" t="str">
            <v>LMA01.ASX</v>
          </cell>
          <cell r="AF541" t="str">
            <v>LMA01.ASX</v>
          </cell>
          <cell r="AG541">
            <v>127.35599999999999</v>
          </cell>
        </row>
        <row r="542">
          <cell r="A542" t="str">
            <v>LMA02</v>
          </cell>
          <cell r="B542" t="str">
            <v>LMA02.ASX</v>
          </cell>
          <cell r="C542" t="str">
            <v>LMA02.ASX</v>
          </cell>
          <cell r="D542">
            <v>7</v>
          </cell>
          <cell r="E542">
            <v>296464.11</v>
          </cell>
          <cell r="F542">
            <v>179.47300000000001</v>
          </cell>
          <cell r="G542">
            <v>167811.26799999998</v>
          </cell>
          <cell r="J542" t="str">
            <v>LMA02.ASX</v>
          </cell>
          <cell r="K542" t="str">
            <v>LMA02</v>
          </cell>
          <cell r="L542">
            <v>1</v>
          </cell>
          <cell r="M542">
            <v>598576230</v>
          </cell>
          <cell r="N542">
            <v>6642356.9610000001</v>
          </cell>
          <cell r="O542">
            <v>41904</v>
          </cell>
          <cell r="P542" t="str">
            <v>Ssb0026Au</v>
          </cell>
          <cell r="Q542" t="str">
            <v>Legg Mason Martin Currie Real Income Fund</v>
          </cell>
          <cell r="R542" t="str">
            <v>Legg Mason Asset Management Australia Limited</v>
          </cell>
          <cell r="T542">
            <v>6.2053123899000004</v>
          </cell>
          <cell r="X542" t="str">
            <v>LMA02.ASX</v>
          </cell>
          <cell r="Y542">
            <v>175.77799999999999</v>
          </cell>
          <cell r="Z542" t="str">
            <v>LMA02.ASX</v>
          </cell>
          <cell r="AA542">
            <v>180.48699999999999</v>
          </cell>
          <cell r="AB542" t="str">
            <v>LMA02.ASX</v>
          </cell>
          <cell r="AC542">
            <v>158.63300000000001</v>
          </cell>
          <cell r="AD542" t="str">
            <v>LMA02.ASX</v>
          </cell>
          <cell r="AF542" t="str">
            <v>LMA02.ASX</v>
          </cell>
          <cell r="AG542">
            <v>179.47300000000001</v>
          </cell>
        </row>
        <row r="543">
          <cell r="A543" t="str">
            <v>LMA03</v>
          </cell>
          <cell r="B543" t="str">
            <v>LMA03.ASX</v>
          </cell>
          <cell r="C543" t="str">
            <v>LMA03.ASX</v>
          </cell>
          <cell r="D543" t="str">
            <v>0</v>
          </cell>
          <cell r="E543" t="str">
            <v>0</v>
          </cell>
          <cell r="F543">
            <v>109.047</v>
          </cell>
          <cell r="G543" t="str">
            <v>0</v>
          </cell>
          <cell r="J543" t="str">
            <v>LMA03.ASX</v>
          </cell>
          <cell r="K543" t="str">
            <v>LMA03</v>
          </cell>
          <cell r="L543">
            <v>1</v>
          </cell>
          <cell r="M543">
            <v>8282140</v>
          </cell>
          <cell r="N543">
            <v>0</v>
          </cell>
          <cell r="O543">
            <v>41904</v>
          </cell>
          <cell r="P543" t="str">
            <v>Ssb0011Au</v>
          </cell>
          <cell r="Q543" t="str">
            <v>Legg Mason Martin Currie Small Companies Fund</v>
          </cell>
          <cell r="R543" t="str">
            <v>Legg Mason Asset Management Australia Limited</v>
          </cell>
          <cell r="T543">
            <v>1.1366398836</v>
          </cell>
          <cell r="X543" t="str">
            <v>LMA03.ASX</v>
          </cell>
          <cell r="Y543">
            <v>107.301</v>
          </cell>
          <cell r="Z543" t="str">
            <v>LMA03.ASX</v>
          </cell>
          <cell r="AA543">
            <v>90.114999999999995</v>
          </cell>
          <cell r="AB543" t="str">
            <v>LMA03.ASX</v>
          </cell>
          <cell r="AC543">
            <v>95.19</v>
          </cell>
          <cell r="AD543" t="str">
            <v>LMA03.ASX</v>
          </cell>
          <cell r="AF543" t="str">
            <v>LMA03.ASX</v>
          </cell>
          <cell r="AG543">
            <v>109.047</v>
          </cell>
        </row>
        <row r="544">
          <cell r="A544" t="str">
            <v>LMA04</v>
          </cell>
          <cell r="B544" t="str">
            <v>LMA04.ASX</v>
          </cell>
          <cell r="C544" t="str">
            <v>LMA04.ASX</v>
          </cell>
          <cell r="D544">
            <v>6</v>
          </cell>
          <cell r="E544">
            <v>110968.89</v>
          </cell>
          <cell r="F544">
            <v>122.691</v>
          </cell>
          <cell r="G544">
            <v>90472.725100000011</v>
          </cell>
          <cell r="J544" t="str">
            <v>LMA04.ASX</v>
          </cell>
          <cell r="K544" t="str">
            <v>LMA04</v>
          </cell>
          <cell r="L544">
            <v>1</v>
          </cell>
          <cell r="M544">
            <v>589661280</v>
          </cell>
          <cell r="N544">
            <v>1496166.5669</v>
          </cell>
          <cell r="O544">
            <v>41904</v>
          </cell>
          <cell r="P544" t="str">
            <v>Ssb0122Au</v>
          </cell>
          <cell r="Q544" t="str">
            <v>Legg Mason Western Asset Australian Bond Fund</v>
          </cell>
          <cell r="R544" t="str">
            <v>Legg Mason Asset Management Australia Limited</v>
          </cell>
          <cell r="T544">
            <v>3.0105500622000001</v>
          </cell>
          <cell r="X544" t="str">
            <v>LMA04.ASX</v>
          </cell>
          <cell r="Y544">
            <v>122.547</v>
          </cell>
          <cell r="Z544" t="str">
            <v>LMA04.ASX</v>
          </cell>
          <cell r="AA544">
            <v>122.53</v>
          </cell>
          <cell r="AB544" t="str">
            <v>LMA04.ASX</v>
          </cell>
          <cell r="AC544">
            <v>126.334</v>
          </cell>
          <cell r="AD544" t="str">
            <v>LMA04.ASX</v>
          </cell>
          <cell r="AF544" t="str">
            <v>LMA04.ASX</v>
          </cell>
          <cell r="AG544">
            <v>122.691</v>
          </cell>
        </row>
        <row r="545">
          <cell r="A545" t="str">
            <v>LMA05</v>
          </cell>
          <cell r="B545" t="str">
            <v>LMA05.ASX</v>
          </cell>
          <cell r="C545" t="str">
            <v>LMA05.ASX</v>
          </cell>
          <cell r="D545">
            <v>4</v>
          </cell>
          <cell r="E545">
            <v>478935.27</v>
          </cell>
          <cell r="F545">
            <v>110.42400000000001</v>
          </cell>
          <cell r="G545">
            <v>437798.67299999995</v>
          </cell>
          <cell r="J545" t="str">
            <v>LMA05.ASX</v>
          </cell>
          <cell r="K545" t="str">
            <v>LMA05</v>
          </cell>
          <cell r="L545">
            <v>1</v>
          </cell>
          <cell r="M545">
            <v>8744040</v>
          </cell>
          <cell r="N545">
            <v>2323305.1839999999</v>
          </cell>
          <cell r="O545">
            <v>41904</v>
          </cell>
          <cell r="P545" t="str">
            <v>Ssb0061Au</v>
          </cell>
          <cell r="Q545" t="str">
            <v>Legg Mason Martin Currie Diversified Income Fund</v>
          </cell>
          <cell r="R545" t="str">
            <v>Legg Mason Asset Management Australia Limited</v>
          </cell>
          <cell r="T545">
            <v>3.1813533093999999</v>
          </cell>
          <cell r="X545" t="str">
            <v>LMA05.ASX</v>
          </cell>
          <cell r="Y545">
            <v>108.242</v>
          </cell>
          <cell r="Z545" t="str">
            <v>LMA05.ASX</v>
          </cell>
          <cell r="AA545">
            <v>111.81699999999999</v>
          </cell>
          <cell r="AB545" t="str">
            <v>LMA05.ASX</v>
          </cell>
          <cell r="AC545">
            <v>105.11</v>
          </cell>
          <cell r="AD545" t="str">
            <v>LMA05.ASX</v>
          </cell>
          <cell r="AF545" t="str">
            <v>LMA05.ASX</v>
          </cell>
          <cell r="AG545">
            <v>110.42400000000001</v>
          </cell>
        </row>
        <row r="546">
          <cell r="A546" t="str">
            <v>LMA06</v>
          </cell>
          <cell r="B546" t="str">
            <v>LMA06.ASX</v>
          </cell>
          <cell r="C546" t="str">
            <v>LMA06.ASX</v>
          </cell>
          <cell r="D546">
            <v>3</v>
          </cell>
          <cell r="E546">
            <v>239200</v>
          </cell>
          <cell r="F546">
            <v>108.91800000000001</v>
          </cell>
          <cell r="G546">
            <v>220663.31099999999</v>
          </cell>
          <cell r="J546" t="str">
            <v>LMA06.ASX</v>
          </cell>
          <cell r="K546" t="str">
            <v>LMA06</v>
          </cell>
          <cell r="L546">
            <v>1</v>
          </cell>
          <cell r="M546">
            <v>219819300</v>
          </cell>
          <cell r="N546">
            <v>910640.31</v>
          </cell>
          <cell r="O546">
            <v>41904</v>
          </cell>
          <cell r="P546" t="str">
            <v>Jpm0008Au</v>
          </cell>
          <cell r="Q546" t="str">
            <v>Legg Mason Martin Currie Diversified Growth Fund</v>
          </cell>
          <cell r="R546" t="str">
            <v>Legg Mason Asset Management Australia Limited</v>
          </cell>
          <cell r="T546">
            <v>1.4172796644000001</v>
          </cell>
          <cell r="X546" t="str">
            <v>LMA06.ASX</v>
          </cell>
          <cell r="Y546">
            <v>107.22499999999999</v>
          </cell>
          <cell r="Z546" t="str">
            <v>LMA06.ASX</v>
          </cell>
          <cell r="AA546">
            <v>104.622</v>
          </cell>
          <cell r="AB546" t="str">
            <v>LMA06.ASX</v>
          </cell>
          <cell r="AC546">
            <v>100.92100000000001</v>
          </cell>
          <cell r="AD546" t="str">
            <v>LMA06.ASX</v>
          </cell>
          <cell r="AF546" t="str">
            <v>LMA06.ASX</v>
          </cell>
          <cell r="AG546">
            <v>108.91800000000001</v>
          </cell>
        </row>
        <row r="547">
          <cell r="A547" t="str">
            <v>LMA07</v>
          </cell>
          <cell r="B547" t="str">
            <v>LMA07.ASX</v>
          </cell>
          <cell r="C547" t="str">
            <v>LMA07.ASX</v>
          </cell>
          <cell r="D547">
            <v>8</v>
          </cell>
          <cell r="E547">
            <v>706902.39999999991</v>
          </cell>
          <cell r="F547">
            <v>120.696</v>
          </cell>
          <cell r="G547">
            <v>584069.55100000009</v>
          </cell>
          <cell r="J547" t="str">
            <v>LMA07.ASX</v>
          </cell>
          <cell r="K547" t="str">
            <v>LMA07</v>
          </cell>
          <cell r="L547">
            <v>1</v>
          </cell>
          <cell r="M547">
            <v>614842250</v>
          </cell>
          <cell r="N547">
            <v>12403081.998199999</v>
          </cell>
          <cell r="O547">
            <v>42072</v>
          </cell>
          <cell r="P547" t="str">
            <v>Ssb0014Au</v>
          </cell>
          <cell r="Q547" t="str">
            <v>Legg Mason Brandywine Global Opportunistic Fixed I</v>
          </cell>
          <cell r="R547" t="str">
            <v>Legg Mason Asset Management Australia Limited</v>
          </cell>
          <cell r="T547">
            <v>4.4830562658000002</v>
          </cell>
          <cell r="X547" t="str">
            <v>LMA07.ASX</v>
          </cell>
          <cell r="Y547">
            <v>121.7</v>
          </cell>
          <cell r="Z547" t="str">
            <v>LMA07.ASX</v>
          </cell>
          <cell r="AA547">
            <v>133.749</v>
          </cell>
          <cell r="AB547" t="str">
            <v>LMA07.ASX</v>
          </cell>
          <cell r="AC547">
            <v>129.34399999999999</v>
          </cell>
          <cell r="AD547" t="str">
            <v>LMA07.ASX</v>
          </cell>
          <cell r="AF547" t="str">
            <v>LMA07.ASX</v>
          </cell>
          <cell r="AG547">
            <v>120.696</v>
          </cell>
        </row>
        <row r="548">
          <cell r="A548" t="str">
            <v>LOF01</v>
          </cell>
          <cell r="B548" t="str">
            <v>LOF01.ASX</v>
          </cell>
          <cell r="C548" t="str">
            <v>LOF01.ASX</v>
          </cell>
          <cell r="D548">
            <v>11</v>
          </cell>
          <cell r="E548">
            <v>285867.26</v>
          </cell>
          <cell r="F548">
            <v>160.57</v>
          </cell>
          <cell r="G548">
            <v>171764.07500000001</v>
          </cell>
          <cell r="J548" t="str">
            <v>LOF01.ASX</v>
          </cell>
          <cell r="K548" t="str">
            <v>LOF01</v>
          </cell>
          <cell r="L548">
            <v>1</v>
          </cell>
          <cell r="M548">
            <v>43719400</v>
          </cell>
          <cell r="N548">
            <v>808169.85439999995</v>
          </cell>
          <cell r="O548">
            <v>42991</v>
          </cell>
          <cell r="P548" t="str">
            <v>MMC0110Au</v>
          </cell>
          <cell r="Q548" t="str">
            <v>Loftus Peak Global Disruption Fund</v>
          </cell>
          <cell r="R548" t="str">
            <v>Loftus Peak (Eqt)</v>
          </cell>
          <cell r="X548" t="str">
            <v>LOF01.ASX</v>
          </cell>
          <cell r="Y548">
            <v>157.81</v>
          </cell>
          <cell r="Z548" t="str">
            <v>LOF01.ASX</v>
          </cell>
          <cell r="AB548" t="str">
            <v>LOF01.ASX</v>
          </cell>
          <cell r="AD548" t="str">
            <v>LOF01.ASX</v>
          </cell>
          <cell r="AF548" t="str">
            <v>LOF01.ASX</v>
          </cell>
          <cell r="AG548">
            <v>160.57</v>
          </cell>
        </row>
        <row r="549">
          <cell r="A549" t="str">
            <v>MLC01</v>
          </cell>
          <cell r="B549" t="str">
            <v>MLC01.ASX</v>
          </cell>
          <cell r="C549" t="str">
            <v>MLC01.ASX</v>
          </cell>
          <cell r="D549" t="str">
            <v>0</v>
          </cell>
          <cell r="E549" t="str">
            <v>0</v>
          </cell>
          <cell r="F549">
            <v>108.6534</v>
          </cell>
          <cell r="G549" t="str">
            <v>0</v>
          </cell>
          <cell r="J549" t="str">
            <v>MLC01.ASX</v>
          </cell>
          <cell r="K549" t="str">
            <v>MLC01</v>
          </cell>
          <cell r="L549">
            <v>1</v>
          </cell>
          <cell r="M549">
            <v>335444950</v>
          </cell>
          <cell r="N549">
            <v>34555.49</v>
          </cell>
          <cell r="O549">
            <v>43011</v>
          </cell>
          <cell r="P549" t="str">
            <v>MLC0921Au</v>
          </cell>
          <cell r="Q549" t="str">
            <v>MLC Ws Inflation Plus - Conservative Portfolio</v>
          </cell>
          <cell r="R549" t="str">
            <v>MLC Investments Limited</v>
          </cell>
          <cell r="T549">
            <v>2.08</v>
          </cell>
          <cell r="X549" t="str">
            <v>MLC01.ASX</v>
          </cell>
          <cell r="Y549">
            <v>108.30410000000001</v>
          </cell>
          <cell r="Z549" t="str">
            <v>MLC01.ASX</v>
          </cell>
          <cell r="AA549">
            <v>111.35</v>
          </cell>
          <cell r="AB549" t="str">
            <v>MLC01.ASX</v>
          </cell>
          <cell r="AD549" t="str">
            <v>MLC01.ASX</v>
          </cell>
          <cell r="AF549" t="str">
            <v>MLC01.ASX</v>
          </cell>
          <cell r="AG549">
            <v>108.6534</v>
          </cell>
        </row>
        <row r="550">
          <cell r="A550" t="str">
            <v>MLC02</v>
          </cell>
          <cell r="B550" t="str">
            <v>MLC02.ASX</v>
          </cell>
          <cell r="C550" t="str">
            <v>MLC02.ASX</v>
          </cell>
          <cell r="D550">
            <v>3</v>
          </cell>
          <cell r="E550">
            <v>187000</v>
          </cell>
          <cell r="F550">
            <v>110.4768</v>
          </cell>
          <cell r="G550">
            <v>168926.94</v>
          </cell>
          <cell r="J550" t="str">
            <v>MLC02.ASX</v>
          </cell>
          <cell r="K550" t="str">
            <v>MLC02</v>
          </cell>
          <cell r="L550">
            <v>1</v>
          </cell>
          <cell r="M550">
            <v>632173760</v>
          </cell>
          <cell r="N550">
            <v>430714.32</v>
          </cell>
          <cell r="O550">
            <v>43011</v>
          </cell>
          <cell r="P550" t="str">
            <v>MLC0920Au</v>
          </cell>
          <cell r="Q550" t="str">
            <v>MLC Ws Inflation Plus - Moderate Portfolio</v>
          </cell>
          <cell r="R550" t="str">
            <v>MLC Investments Limited</v>
          </cell>
          <cell r="T550">
            <v>2.98</v>
          </cell>
          <cell r="X550" t="str">
            <v>MLC02.ASX</v>
          </cell>
          <cell r="Y550">
            <v>110.02070000000001</v>
          </cell>
          <cell r="Z550" t="str">
            <v>MLC02.ASX</v>
          </cell>
          <cell r="AA550">
            <v>127.63</v>
          </cell>
          <cell r="AB550" t="str">
            <v>MLC02.ASX</v>
          </cell>
          <cell r="AC550">
            <v>122.852</v>
          </cell>
          <cell r="AD550" t="str">
            <v>MLC02.ASX</v>
          </cell>
          <cell r="AF550" t="str">
            <v>MLC02.ASX</v>
          </cell>
          <cell r="AG550">
            <v>110.4768</v>
          </cell>
        </row>
        <row r="551">
          <cell r="A551" t="str">
            <v>MLC03</v>
          </cell>
          <cell r="B551" t="str">
            <v>MLC03.ASX</v>
          </cell>
          <cell r="C551" t="str">
            <v>MLC03.ASX</v>
          </cell>
          <cell r="D551">
            <v>1</v>
          </cell>
          <cell r="E551">
            <v>20000</v>
          </cell>
          <cell r="F551">
            <v>95.769000000000005</v>
          </cell>
          <cell r="G551">
            <v>20724.810000000001</v>
          </cell>
          <cell r="J551" t="str">
            <v>MLC03.ASX</v>
          </cell>
          <cell r="K551" t="str">
            <v>MLC03</v>
          </cell>
          <cell r="L551">
            <v>1</v>
          </cell>
          <cell r="M551">
            <v>433990210</v>
          </cell>
          <cell r="N551">
            <v>763169.1</v>
          </cell>
          <cell r="O551">
            <v>43011</v>
          </cell>
          <cell r="P551" t="str">
            <v>MLC0667Au</v>
          </cell>
          <cell r="Q551" t="str">
            <v>MLC Ws Inflation Plus - Assertive Portfolio</v>
          </cell>
          <cell r="R551" t="str">
            <v>MLC Investments Limited</v>
          </cell>
          <cell r="T551">
            <v>1.49</v>
          </cell>
          <cell r="X551" t="str">
            <v>MLC03.ASX</v>
          </cell>
          <cell r="Y551">
            <v>95.133600000000001</v>
          </cell>
          <cell r="Z551" t="str">
            <v>MLC03.ASX</v>
          </cell>
          <cell r="AA551">
            <v>175.477</v>
          </cell>
          <cell r="AB551" t="str">
            <v>MLC03.ASX</v>
          </cell>
          <cell r="AC551">
            <v>154.941</v>
          </cell>
          <cell r="AD551" t="str">
            <v>MLC03.ASX</v>
          </cell>
          <cell r="AF551" t="str">
            <v>MLC03.ASX</v>
          </cell>
          <cell r="AG551">
            <v>95.769000000000005</v>
          </cell>
        </row>
        <row r="552">
          <cell r="A552" t="str">
            <v>MIM01</v>
          </cell>
          <cell r="B552" t="str">
            <v>MIM01.ASX</v>
          </cell>
          <cell r="C552" t="str">
            <v>MIM01.ASX</v>
          </cell>
          <cell r="D552">
            <v>5</v>
          </cell>
          <cell r="E552">
            <v>291000</v>
          </cell>
          <cell r="F552">
            <v>101.48</v>
          </cell>
          <cell r="G552">
            <v>285802.74</v>
          </cell>
          <cell r="J552" t="str">
            <v>MIM01.ASX</v>
          </cell>
          <cell r="K552" t="str">
            <v>MIM01</v>
          </cell>
          <cell r="L552">
            <v>1</v>
          </cell>
          <cell r="M552">
            <v>3278611830</v>
          </cell>
          <cell r="N552">
            <v>285802.74</v>
          </cell>
          <cell r="O552">
            <v>43258</v>
          </cell>
          <cell r="P552" t="str">
            <v>Maq0277Au</v>
          </cell>
          <cell r="Q552" t="str">
            <v>Macquarie Income Opportunities Fund</v>
          </cell>
          <cell r="R552" t="str">
            <v>Macquarie Investment Management Australia Limited</v>
          </cell>
          <cell r="T552">
            <v>2.0499999999999998</v>
          </cell>
          <cell r="X552" t="str">
            <v>MIM01.ASX</v>
          </cell>
          <cell r="Z552" t="str">
            <v>MIM01.ASX</v>
          </cell>
          <cell r="AB552" t="str">
            <v>MIM01.ASX</v>
          </cell>
          <cell r="AD552" t="str">
            <v>MIM01.ASX</v>
          </cell>
          <cell r="AF552" t="str">
            <v>MIM01.ASX</v>
          </cell>
          <cell r="AG552">
            <v>101.48</v>
          </cell>
        </row>
        <row r="553">
          <cell r="A553" t="str">
            <v>MUN01</v>
          </cell>
          <cell r="B553" t="str">
            <v>MUN01.ASX</v>
          </cell>
          <cell r="C553" t="str">
            <v>MUN01.ASX</v>
          </cell>
          <cell r="D553">
            <v>15</v>
          </cell>
          <cell r="E553">
            <v>533600</v>
          </cell>
          <cell r="F553">
            <v>132.38999999999999</v>
          </cell>
          <cell r="G553">
            <v>395841.60349999997</v>
          </cell>
          <cell r="J553" t="str">
            <v>MUN01.ASX</v>
          </cell>
          <cell r="K553" t="str">
            <v>MUN01</v>
          </cell>
          <cell r="L553">
            <v>1</v>
          </cell>
          <cell r="M553">
            <v>154405180</v>
          </cell>
          <cell r="N553">
            <v>1457067.5796000001</v>
          </cell>
          <cell r="O553">
            <v>43160</v>
          </cell>
          <cell r="P553" t="str">
            <v>Mua0002Au</v>
          </cell>
          <cell r="Q553" t="str">
            <v>Munro Global Growth Fund - Ordinary Units</v>
          </cell>
          <cell r="R553" t="str">
            <v>Titan Minerals Limited</v>
          </cell>
          <cell r="T553">
            <v>3.84</v>
          </cell>
          <cell r="X553" t="str">
            <v>MUN01.ASX</v>
          </cell>
          <cell r="Y553">
            <v>130.77000000000001</v>
          </cell>
          <cell r="Z553" t="str">
            <v>MUN01.ASX</v>
          </cell>
          <cell r="AA553">
            <v>117.3</v>
          </cell>
          <cell r="AB553" t="str">
            <v>MUN01.ASX</v>
          </cell>
          <cell r="AD553" t="str">
            <v>MUN01.ASX</v>
          </cell>
          <cell r="AF553" t="str">
            <v>MUN01.ASX</v>
          </cell>
          <cell r="AG553">
            <v>132.38999999999999</v>
          </cell>
        </row>
        <row r="554">
          <cell r="A554" t="str">
            <v>RAI01</v>
          </cell>
          <cell r="B554" t="str">
            <v>RAI01.ASX</v>
          </cell>
          <cell r="C554" t="str">
            <v>RAI01.ASX</v>
          </cell>
          <cell r="D554">
            <v>6</v>
          </cell>
          <cell r="E554">
            <v>261128.68</v>
          </cell>
          <cell r="F554">
            <v>101.11</v>
          </cell>
          <cell r="G554">
            <v>261895.67229999998</v>
          </cell>
          <cell r="J554" t="str">
            <v>RAI01.ASX</v>
          </cell>
          <cell r="K554" t="str">
            <v>RAI01</v>
          </cell>
          <cell r="L554">
            <v>1</v>
          </cell>
          <cell r="M554">
            <v>1098200370</v>
          </cell>
          <cell r="N554">
            <v>3874349.236</v>
          </cell>
          <cell r="O554">
            <v>42716</v>
          </cell>
          <cell r="P554" t="str">
            <v>Tgp0008Au</v>
          </cell>
          <cell r="Q554" t="str">
            <v>Rare Infrastructure Value Fund - Hedged</v>
          </cell>
          <cell r="R554" t="str">
            <v>Rare Infrastructure (Legg Mason Asset Mgmt Au Ltd)</v>
          </cell>
          <cell r="T554">
            <v>7.5</v>
          </cell>
          <cell r="X554" t="str">
            <v>RAI01.ASX</v>
          </cell>
          <cell r="Y554">
            <v>98.65</v>
          </cell>
          <cell r="Z554" t="str">
            <v>RAI01.ASX</v>
          </cell>
          <cell r="AA554">
            <v>115.99</v>
          </cell>
          <cell r="AB554" t="str">
            <v>RAI01.ASX</v>
          </cell>
          <cell r="AC554">
            <v>128.5</v>
          </cell>
          <cell r="AD554" t="str">
            <v>RAI01.ASX</v>
          </cell>
          <cell r="AF554" t="str">
            <v>RAI01.ASX</v>
          </cell>
          <cell r="AG554">
            <v>101.11</v>
          </cell>
        </row>
        <row r="555">
          <cell r="A555" t="str">
            <v>RAI02</v>
          </cell>
          <cell r="B555" t="str">
            <v>RAI02.ASX</v>
          </cell>
          <cell r="C555" t="str">
            <v>RAI02.ASX</v>
          </cell>
          <cell r="D555">
            <v>10</v>
          </cell>
          <cell r="E555">
            <v>580561.09</v>
          </cell>
          <cell r="F555">
            <v>124.22</v>
          </cell>
          <cell r="G555">
            <v>490443.71850000002</v>
          </cell>
          <cell r="J555" t="str">
            <v>RAI02.ASX</v>
          </cell>
          <cell r="K555" t="str">
            <v>RAI02</v>
          </cell>
          <cell r="L555">
            <v>1</v>
          </cell>
          <cell r="M555">
            <v>972170000</v>
          </cell>
          <cell r="N555">
            <v>6611237.9029000001</v>
          </cell>
          <cell r="O555">
            <v>42716</v>
          </cell>
          <cell r="P555" t="str">
            <v>Tgp0034Au</v>
          </cell>
          <cell r="Q555" t="str">
            <v>Rare Infrastructure Value Fund - Unhedged</v>
          </cell>
          <cell r="R555" t="str">
            <v>Rare Infrastructure (Legg Mason Asset Mgmt Au Ltd)</v>
          </cell>
          <cell r="T555">
            <v>10</v>
          </cell>
          <cell r="X555" t="str">
            <v>RAI02.ASX</v>
          </cell>
          <cell r="Y555">
            <v>118.92</v>
          </cell>
          <cell r="Z555" t="str">
            <v>RAI02.ASX</v>
          </cell>
          <cell r="AA555">
            <v>137.81</v>
          </cell>
          <cell r="AB555" t="str">
            <v>RAI02.ASX</v>
          </cell>
          <cell r="AC555">
            <v>127.93300000000001</v>
          </cell>
          <cell r="AD555" t="str">
            <v>RAI02.ASX</v>
          </cell>
          <cell r="AF555" t="str">
            <v>RAI02.ASX</v>
          </cell>
          <cell r="AG555">
            <v>124.22</v>
          </cell>
        </row>
        <row r="556">
          <cell r="A556" t="str">
            <v>RAI03</v>
          </cell>
          <cell r="B556" t="str">
            <v>RAI03.ASX</v>
          </cell>
          <cell r="C556" t="str">
            <v>RAI03.ASX</v>
          </cell>
          <cell r="D556" t="str">
            <v>0</v>
          </cell>
          <cell r="E556" t="str">
            <v>0</v>
          </cell>
          <cell r="F556">
            <v>125.58</v>
          </cell>
          <cell r="G556" t="str">
            <v>0</v>
          </cell>
          <cell r="J556" t="str">
            <v>RAI03.ASX</v>
          </cell>
          <cell r="K556" t="str">
            <v>RAI03</v>
          </cell>
          <cell r="L556">
            <v>1</v>
          </cell>
          <cell r="M556">
            <v>3700000</v>
          </cell>
          <cell r="N556">
            <v>263083.1912</v>
          </cell>
          <cell r="O556">
            <v>42933</v>
          </cell>
          <cell r="P556" t="str">
            <v>Tgp0016Au</v>
          </cell>
          <cell r="Q556" t="str">
            <v>Rare Infrastructure Income Fund</v>
          </cell>
          <cell r="R556" t="str">
            <v>Rare Infrastructure (Legg Mason Asset Mgmt Au Ltd)</v>
          </cell>
          <cell r="T556">
            <v>10</v>
          </cell>
          <cell r="X556" t="str">
            <v>RAI03.ASX</v>
          </cell>
          <cell r="Y556">
            <v>120.66</v>
          </cell>
          <cell r="Z556" t="str">
            <v>RAI03.ASX</v>
          </cell>
          <cell r="AA556">
            <v>130.58000000000001</v>
          </cell>
          <cell r="AB556" t="str">
            <v>RAI03.ASX</v>
          </cell>
          <cell r="AC556">
            <v>103.717</v>
          </cell>
          <cell r="AD556" t="str">
            <v>RAI03.ASX</v>
          </cell>
          <cell r="AF556" t="str">
            <v>RAI03.ASX</v>
          </cell>
          <cell r="AG556">
            <v>125.58</v>
          </cell>
        </row>
        <row r="557">
          <cell r="A557" t="str">
            <v>RAI04</v>
          </cell>
          <cell r="B557" t="str">
            <v>RAI04.ASX</v>
          </cell>
          <cell r="C557" t="str">
            <v>RAI04.ASX</v>
          </cell>
          <cell r="D557" t="str">
            <v>0</v>
          </cell>
          <cell r="E557" t="str">
            <v>0</v>
          </cell>
          <cell r="F557">
            <v>186.32</v>
          </cell>
          <cell r="G557" t="str">
            <v>0</v>
          </cell>
          <cell r="J557" t="str">
            <v>RAI04.ASX</v>
          </cell>
          <cell r="K557" t="str">
            <v>RAI04</v>
          </cell>
          <cell r="L557">
            <v>1</v>
          </cell>
          <cell r="M557">
            <v>206300000</v>
          </cell>
          <cell r="N557">
            <v>101617.477</v>
          </cell>
          <cell r="O557">
            <v>42933</v>
          </cell>
          <cell r="P557" t="str">
            <v>Tgp0015Au</v>
          </cell>
          <cell r="Q557" t="str">
            <v>Rare Emerging Markets Fund</v>
          </cell>
          <cell r="R557" t="str">
            <v>Rare Infrastructure (Legg Mason Asset Mgmt Au Ltd)</v>
          </cell>
          <cell r="T557">
            <v>2.5</v>
          </cell>
          <cell r="X557" t="str">
            <v>RAI04.ASX</v>
          </cell>
          <cell r="Y557">
            <v>190.18</v>
          </cell>
          <cell r="Z557" t="str">
            <v>RAI04.ASX</v>
          </cell>
          <cell r="AA557">
            <v>92.28</v>
          </cell>
          <cell r="AB557" t="str">
            <v>RAI04.ASX</v>
          </cell>
          <cell r="AC557">
            <v>129.76</v>
          </cell>
          <cell r="AD557" t="str">
            <v>RAI04.ASX</v>
          </cell>
          <cell r="AF557" t="str">
            <v>RAI04.ASX</v>
          </cell>
          <cell r="AG557">
            <v>186.32</v>
          </cell>
        </row>
        <row r="558">
          <cell r="A558" t="str">
            <v>RLM01</v>
          </cell>
          <cell r="B558" t="str">
            <v>RLM01.ASX</v>
          </cell>
          <cell r="C558" t="str">
            <v>RLM01.ASX</v>
          </cell>
          <cell r="D558">
            <v>1</v>
          </cell>
          <cell r="E558">
            <v>66483</v>
          </cell>
          <cell r="F558">
            <v>106.35</v>
          </cell>
          <cell r="G558">
            <v>62472.279600000002</v>
          </cell>
          <cell r="J558" t="str">
            <v>RLM01.ASX</v>
          </cell>
          <cell r="K558" t="str">
            <v>RLM01</v>
          </cell>
          <cell r="L558">
            <v>1</v>
          </cell>
          <cell r="M558">
            <v>7503550</v>
          </cell>
          <cell r="N558">
            <v>320833.05670000002</v>
          </cell>
          <cell r="O558">
            <v>43034</v>
          </cell>
          <cell r="P558" t="str">
            <v>Omf0001Au</v>
          </cell>
          <cell r="Q558" t="str">
            <v>Realm High Income Fund - Ordinary Units</v>
          </cell>
          <cell r="R558" t="str">
            <v>Realm Investment House (One Managed Investment Funds Ltd)</v>
          </cell>
          <cell r="T558">
            <v>2.2986</v>
          </cell>
          <cell r="X558" t="str">
            <v>RLM01.ASX</v>
          </cell>
          <cell r="Y558">
            <v>106.35</v>
          </cell>
          <cell r="Z558" t="str">
            <v>RLM01.ASX</v>
          </cell>
          <cell r="AA558">
            <v>106.77</v>
          </cell>
          <cell r="AB558" t="str">
            <v>RLM01.ASX</v>
          </cell>
          <cell r="AC558">
            <v>95.567999999999998</v>
          </cell>
          <cell r="AD558" t="str">
            <v>RLM01.ASX</v>
          </cell>
          <cell r="AF558" t="str">
            <v>RLM01.ASX</v>
          </cell>
          <cell r="AG558">
            <v>106.35</v>
          </cell>
        </row>
        <row r="559">
          <cell r="A559" t="str">
            <v>RLM02</v>
          </cell>
          <cell r="B559" t="str">
            <v>RLM02.ASX</v>
          </cell>
          <cell r="C559" t="str">
            <v>RLM02.ASX</v>
          </cell>
          <cell r="D559" t="str">
            <v>0</v>
          </cell>
          <cell r="E559" t="str">
            <v>0</v>
          </cell>
          <cell r="F559">
            <v>100</v>
          </cell>
          <cell r="G559" t="str">
            <v>0</v>
          </cell>
          <cell r="J559" t="str">
            <v>RLM02.ASX</v>
          </cell>
          <cell r="K559" t="str">
            <v>RLM02</v>
          </cell>
          <cell r="L559">
            <v>1</v>
          </cell>
          <cell r="M559">
            <v>0</v>
          </cell>
          <cell r="N559">
            <v>0</v>
          </cell>
          <cell r="O559">
            <v>43136</v>
          </cell>
          <cell r="P559" t="str">
            <v>Omf8160Au</v>
          </cell>
          <cell r="Q559" t="str">
            <v>Realm Cash Plus Fund - Mfund Units</v>
          </cell>
          <cell r="R559" t="str">
            <v>Realm Investment House (One Managed Investment Funds Ltd)</v>
          </cell>
          <cell r="X559" t="str">
            <v>RLM02.ASX</v>
          </cell>
          <cell r="Y559">
            <v>100</v>
          </cell>
          <cell r="Z559" t="str">
            <v>RLM02.ASX</v>
          </cell>
          <cell r="AA559">
            <v>118.4302</v>
          </cell>
          <cell r="AB559" t="str">
            <v>RLM02.ASX</v>
          </cell>
          <cell r="AD559" t="str">
            <v>RLM02.ASX</v>
          </cell>
          <cell r="AF559" t="str">
            <v>RLM02.ASX</v>
          </cell>
          <cell r="AG559">
            <v>100</v>
          </cell>
        </row>
        <row r="560">
          <cell r="A560" t="str">
            <v>MLO02</v>
          </cell>
          <cell r="B560" t="str">
            <v>MLO02.ASX</v>
          </cell>
          <cell r="C560" t="str">
            <v>MLO02.ASX</v>
          </cell>
          <cell r="D560">
            <v>16</v>
          </cell>
          <cell r="E560">
            <v>193418.02000000002</v>
          </cell>
          <cell r="F560">
            <v>114.22</v>
          </cell>
          <cell r="G560">
            <v>170887.06630000001</v>
          </cell>
          <cell r="J560" t="str">
            <v>MLO02.ASX</v>
          </cell>
          <cell r="K560" t="str">
            <v>MLO02</v>
          </cell>
          <cell r="L560">
            <v>1</v>
          </cell>
          <cell r="M560">
            <v>542270790</v>
          </cell>
          <cell r="N560">
            <v>7168760.3534000004</v>
          </cell>
          <cell r="O560">
            <v>42184</v>
          </cell>
          <cell r="P560" t="str">
            <v>Hbc0011Au</v>
          </cell>
          <cell r="Q560" t="str">
            <v>Merlon Australian Share Income Fund</v>
          </cell>
          <cell r="R560" t="str">
            <v>Merlon Capital Partners (Fidante Partners Limited)</v>
          </cell>
          <cell r="T560">
            <v>5.8200000000000021</v>
          </cell>
          <cell r="X560" t="str">
            <v>MLO02.ASX</v>
          </cell>
          <cell r="Y560">
            <v>112.63</v>
          </cell>
          <cell r="Z560" t="str">
            <v>MLO02.ASX</v>
          </cell>
          <cell r="AA560">
            <v>117.49</v>
          </cell>
          <cell r="AB560" t="str">
            <v>MLO02.ASX</v>
          </cell>
          <cell r="AC560">
            <v>111</v>
          </cell>
          <cell r="AD560" t="str">
            <v>MLO02.ASX</v>
          </cell>
          <cell r="AF560" t="str">
            <v>MLO02.ASX</v>
          </cell>
          <cell r="AG560">
            <v>114.22</v>
          </cell>
        </row>
        <row r="561">
          <cell r="A561" t="str">
            <v>NWG01</v>
          </cell>
          <cell r="B561" t="str">
            <v>NWG01.ASX</v>
          </cell>
          <cell r="C561" t="str">
            <v>NWG01.ASX</v>
          </cell>
          <cell r="D561">
            <v>2</v>
          </cell>
          <cell r="E561">
            <v>139556.84</v>
          </cell>
          <cell r="F561">
            <v>157.12</v>
          </cell>
          <cell r="G561">
            <v>89998.04310000001</v>
          </cell>
          <cell r="J561" t="str">
            <v>NWG01.ASX</v>
          </cell>
          <cell r="K561" t="str">
            <v>NWG01</v>
          </cell>
          <cell r="L561">
            <v>1</v>
          </cell>
          <cell r="M561">
            <v>69572930</v>
          </cell>
          <cell r="N561">
            <v>873163.77540000004</v>
          </cell>
          <cell r="O561">
            <v>41766</v>
          </cell>
          <cell r="P561" t="str">
            <v>Etl0331Au</v>
          </cell>
          <cell r="Q561" t="str">
            <v>Janus Henderson Global Natural Resources Fund</v>
          </cell>
          <cell r="R561" t="str">
            <v>Janus Henderson Investors (Australia) Funds Management Ltd</v>
          </cell>
          <cell r="S561">
            <v>0</v>
          </cell>
          <cell r="X561" t="str">
            <v>NWG01.ASX</v>
          </cell>
          <cell r="Y561">
            <v>154.84</v>
          </cell>
          <cell r="Z561" t="str">
            <v>NWG01.ASX</v>
          </cell>
          <cell r="AA561">
            <v>128.34</v>
          </cell>
          <cell r="AB561" t="str">
            <v>NWG01.ASX</v>
          </cell>
          <cell r="AC561">
            <v>124.22</v>
          </cell>
          <cell r="AD561" t="str">
            <v>NWG01.ASX</v>
          </cell>
          <cell r="AF561" t="str">
            <v>NWG01.ASX</v>
          </cell>
          <cell r="AG561">
            <v>157.12</v>
          </cell>
        </row>
        <row r="562">
          <cell r="A562" t="str">
            <v>ORB01</v>
          </cell>
          <cell r="B562" t="str">
            <v>ORB01.ASX</v>
          </cell>
          <cell r="C562" t="str">
            <v>ORB01.ASX</v>
          </cell>
          <cell r="D562">
            <v>56</v>
          </cell>
          <cell r="E562">
            <v>2673638.9900000002</v>
          </cell>
          <cell r="F562">
            <v>15642.27</v>
          </cell>
          <cell r="G562">
            <v>17043.695</v>
          </cell>
          <cell r="J562" t="str">
            <v>ORB01.ASX</v>
          </cell>
          <cell r="K562" t="str">
            <v>ORB01</v>
          </cell>
          <cell r="L562">
            <v>1</v>
          </cell>
          <cell r="M562">
            <v>6400000</v>
          </cell>
          <cell r="N562">
            <v>123961.397</v>
          </cell>
          <cell r="O562">
            <v>42436</v>
          </cell>
          <cell r="P562" t="str">
            <v>Etl0463Au</v>
          </cell>
          <cell r="Q562" t="str">
            <v>Orbis Global Equity Fund (Australia Registered)</v>
          </cell>
          <cell r="R562" t="str">
            <v>Orbis Investmnt Mgnt Ltd (Equity Trustees Limited)</v>
          </cell>
          <cell r="X562" t="str">
            <v>ORB01.ASX</v>
          </cell>
          <cell r="Y562">
            <v>15379.36</v>
          </cell>
          <cell r="Z562" t="str">
            <v>ORB01.ASX</v>
          </cell>
          <cell r="AA562">
            <v>15099.6</v>
          </cell>
          <cell r="AB562" t="str">
            <v>ORB01.ASX</v>
          </cell>
          <cell r="AC562">
            <v>121.05</v>
          </cell>
          <cell r="AD562" t="str">
            <v>ORB01.ASX</v>
          </cell>
          <cell r="AF562" t="str">
            <v>ORB01.ASX</v>
          </cell>
          <cell r="AG562">
            <v>15642.27</v>
          </cell>
        </row>
        <row r="563">
          <cell r="A563" t="str">
            <v>PLI01</v>
          </cell>
          <cell r="B563" t="str">
            <v>PLI01.ASX</v>
          </cell>
          <cell r="C563" t="str">
            <v>PLI01.ASX</v>
          </cell>
          <cell r="D563">
            <v>4</v>
          </cell>
          <cell r="E563">
            <v>261225.5</v>
          </cell>
          <cell r="F563">
            <v>131.9</v>
          </cell>
          <cell r="G563">
            <v>202129.02429999999</v>
          </cell>
          <cell r="J563" t="str">
            <v>PLI01.ASX</v>
          </cell>
          <cell r="K563" t="str">
            <v>PLI01</v>
          </cell>
          <cell r="L563">
            <v>1</v>
          </cell>
          <cell r="M563">
            <v>1565700000</v>
          </cell>
          <cell r="N563">
            <v>12978496.2831</v>
          </cell>
          <cell r="O563">
            <v>42142</v>
          </cell>
          <cell r="P563" t="str">
            <v>Wht0039Au</v>
          </cell>
          <cell r="Q563" t="str">
            <v>Plato Australian Shares Income Fund - A Class</v>
          </cell>
          <cell r="R563" t="str">
            <v>Pinnacle Fund Services Limited (Plato)</v>
          </cell>
          <cell r="T563">
            <v>7.5732919999999995</v>
          </cell>
          <cell r="X563" t="str">
            <v>PLI01.ASX</v>
          </cell>
          <cell r="Y563">
            <v>126.94</v>
          </cell>
          <cell r="Z563" t="str">
            <v>PLI01.ASX</v>
          </cell>
          <cell r="AA563">
            <v>127.18</v>
          </cell>
          <cell r="AB563" t="str">
            <v>PLI01.ASX</v>
          </cell>
          <cell r="AC563">
            <v>129.09</v>
          </cell>
          <cell r="AD563" t="str">
            <v>PLI01.ASX</v>
          </cell>
          <cell r="AF563" t="str">
            <v>PLI01.ASX</v>
          </cell>
          <cell r="AG563">
            <v>131.9</v>
          </cell>
        </row>
        <row r="564">
          <cell r="A564" t="str">
            <v>PLI02</v>
          </cell>
          <cell r="B564" t="str">
            <v>PLI02.ASX</v>
          </cell>
          <cell r="C564" t="str">
            <v>PLI02.ASX</v>
          </cell>
          <cell r="D564">
            <v>2</v>
          </cell>
          <cell r="E564">
            <v>205000</v>
          </cell>
          <cell r="F564">
            <v>90.89</v>
          </cell>
          <cell r="G564">
            <v>228250.75020000001</v>
          </cell>
          <cell r="J564" t="str">
            <v>PLI02.ASX</v>
          </cell>
          <cell r="K564" t="str">
            <v>PLI02</v>
          </cell>
          <cell r="L564">
            <v>1</v>
          </cell>
          <cell r="M564">
            <v>18830000</v>
          </cell>
          <cell r="N564">
            <v>1428013.1894</v>
          </cell>
          <cell r="O564">
            <v>42142</v>
          </cell>
          <cell r="P564" t="str">
            <v>Wht0055Au</v>
          </cell>
          <cell r="Q564" t="str">
            <v>Plato Australian Shares Income Fund (Managed Risk)</v>
          </cell>
          <cell r="R564" t="str">
            <v>Pinnacle Fund Services Limited (Plato)</v>
          </cell>
          <cell r="T564">
            <v>4.9795499999999997</v>
          </cell>
          <cell r="X564" t="str">
            <v>PLI02.ASX</v>
          </cell>
          <cell r="Y564">
            <v>88.08</v>
          </cell>
          <cell r="Z564" t="str">
            <v>PLI02.ASX</v>
          </cell>
          <cell r="AA564">
            <v>90.85</v>
          </cell>
          <cell r="AB564" t="str">
            <v>PLI02.ASX</v>
          </cell>
          <cell r="AC564">
            <v>100.6</v>
          </cell>
          <cell r="AD564" t="str">
            <v>PLI02.ASX</v>
          </cell>
          <cell r="AF564" t="str">
            <v>PLI02.ASX</v>
          </cell>
          <cell r="AG564">
            <v>90.89</v>
          </cell>
        </row>
        <row r="565">
          <cell r="A565" t="str">
            <v>PLI03</v>
          </cell>
          <cell r="B565" t="str">
            <v>PLI03.ASX</v>
          </cell>
          <cell r="C565" t="str">
            <v>PLI03.ASX</v>
          </cell>
          <cell r="D565">
            <v>4</v>
          </cell>
          <cell r="E565">
            <v>298044.74</v>
          </cell>
          <cell r="F565">
            <v>110.12</v>
          </cell>
          <cell r="G565">
            <v>271235.7524</v>
          </cell>
          <cell r="J565" t="str">
            <v>PLI03.ASX</v>
          </cell>
          <cell r="K565" t="str">
            <v>PLI03</v>
          </cell>
          <cell r="L565">
            <v>1</v>
          </cell>
          <cell r="M565">
            <v>12240000</v>
          </cell>
          <cell r="N565">
            <v>1210884.2466</v>
          </cell>
          <cell r="O565">
            <v>42552</v>
          </cell>
          <cell r="P565" t="str">
            <v>Wht0061Au</v>
          </cell>
          <cell r="Q565" t="str">
            <v>Plato Global Shares Income Fund - Class A Units</v>
          </cell>
          <cell r="R565" t="str">
            <v>Pinnacle Fund Services Limited (Plato)</v>
          </cell>
          <cell r="T565">
            <v>6.4880500000000003</v>
          </cell>
          <cell r="X565" t="str">
            <v>PLI03.ASX</v>
          </cell>
          <cell r="Y565">
            <v>109.62</v>
          </cell>
          <cell r="Z565" t="str">
            <v>PLI03.ASX</v>
          </cell>
          <cell r="AA565">
            <v>104.89</v>
          </cell>
          <cell r="AB565" t="str">
            <v>PLI03.ASX</v>
          </cell>
          <cell r="AC565">
            <v>101.73</v>
          </cell>
          <cell r="AD565" t="str">
            <v>PLI03.ASX</v>
          </cell>
          <cell r="AF565" t="str">
            <v>PLI03.ASX</v>
          </cell>
          <cell r="AG565">
            <v>110.12</v>
          </cell>
        </row>
        <row r="566">
          <cell r="A566" t="str">
            <v>INT01</v>
          </cell>
          <cell r="B566" t="str">
            <v>INT01.ASX</v>
          </cell>
          <cell r="C566" t="str">
            <v>INT01.ASX</v>
          </cell>
          <cell r="D566" t="str">
            <v>0</v>
          </cell>
          <cell r="E566" t="str">
            <v>0</v>
          </cell>
          <cell r="F566">
            <v>136.52279999999999</v>
          </cell>
          <cell r="G566" t="str">
            <v>0</v>
          </cell>
          <cell r="J566" t="str">
            <v>INT01.ASX</v>
          </cell>
          <cell r="K566" t="str">
            <v>INT01</v>
          </cell>
          <cell r="L566">
            <v>1</v>
          </cell>
          <cell r="M566">
            <v>68730000</v>
          </cell>
          <cell r="N566">
            <v>102324.9736</v>
          </cell>
          <cell r="O566">
            <v>42709</v>
          </cell>
          <cell r="P566" t="str">
            <v>Ppl0036Au</v>
          </cell>
          <cell r="Q566" t="str">
            <v>Intermede Global Equities Fund</v>
          </cell>
          <cell r="R566" t="str">
            <v>Ahalife Holdings Limited</v>
          </cell>
          <cell r="X566" t="str">
            <v>INT01.ASX</v>
          </cell>
          <cell r="Y566">
            <v>133.6995</v>
          </cell>
          <cell r="Z566" t="str">
            <v>INT01.ASX</v>
          </cell>
          <cell r="AA566">
            <v>119.8875</v>
          </cell>
          <cell r="AB566" t="str">
            <v>INT01.ASX</v>
          </cell>
          <cell r="AC566">
            <v>102.31</v>
          </cell>
          <cell r="AD566" t="str">
            <v>INT01.ASX</v>
          </cell>
          <cell r="AF566" t="str">
            <v>INT01.ASX</v>
          </cell>
          <cell r="AG566">
            <v>136.52279999999999</v>
          </cell>
        </row>
        <row r="567">
          <cell r="A567" t="str">
            <v>PRE01</v>
          </cell>
          <cell r="B567" t="str">
            <v>PRE01.ASX</v>
          </cell>
          <cell r="C567" t="str">
            <v>PRE01.ASX</v>
          </cell>
          <cell r="D567" t="str">
            <v>0</v>
          </cell>
          <cell r="E567" t="str">
            <v>0</v>
          </cell>
          <cell r="F567">
            <v>97.7303</v>
          </cell>
          <cell r="G567" t="str">
            <v>0</v>
          </cell>
          <cell r="J567" t="str">
            <v>PRE01.ASX</v>
          </cell>
          <cell r="K567" t="str">
            <v>PRE01</v>
          </cell>
          <cell r="L567">
            <v>1</v>
          </cell>
          <cell r="M567">
            <v>36960000</v>
          </cell>
          <cell r="N567">
            <v>861634.23</v>
          </cell>
          <cell r="O567">
            <v>42705</v>
          </cell>
          <cell r="P567" t="str">
            <v>Ppl0026Au</v>
          </cell>
          <cell r="Q567" t="str">
            <v>Presima Global Property Securities Concentrtd Fund</v>
          </cell>
          <cell r="R567" t="str">
            <v>Redcliffe Resources Limited</v>
          </cell>
          <cell r="T567">
            <v>0.59584455520000001</v>
          </cell>
          <cell r="X567" t="str">
            <v>PRE01.ASX</v>
          </cell>
          <cell r="Y567">
            <v>95.700800000000001</v>
          </cell>
          <cell r="Z567" t="str">
            <v>PRE01.ASX</v>
          </cell>
          <cell r="AA567">
            <v>97.32</v>
          </cell>
          <cell r="AB567" t="str">
            <v>PRE01.ASX</v>
          </cell>
          <cell r="AC567">
            <v>103.96</v>
          </cell>
          <cell r="AD567" t="str">
            <v>PRE01.ASX</v>
          </cell>
          <cell r="AF567" t="str">
            <v>PRE01.ASX</v>
          </cell>
          <cell r="AG567">
            <v>97.7303</v>
          </cell>
        </row>
        <row r="568">
          <cell r="A568" t="str">
            <v>RPO01</v>
          </cell>
          <cell r="B568" t="str">
            <v>RPO01.ASX</v>
          </cell>
          <cell r="C568" t="str">
            <v>RPO01.ASX</v>
          </cell>
          <cell r="D568" t="str">
            <v>0</v>
          </cell>
          <cell r="E568" t="str">
            <v>0</v>
          </cell>
          <cell r="F568">
            <v>158.66849999999999</v>
          </cell>
          <cell r="G568" t="str">
            <v>0</v>
          </cell>
          <cell r="J568" t="str">
            <v>RPO01.ASX</v>
          </cell>
          <cell r="K568" t="str">
            <v>RPO01</v>
          </cell>
          <cell r="L568">
            <v>1</v>
          </cell>
          <cell r="M568">
            <v>54530000</v>
          </cell>
          <cell r="N568">
            <v>266299.2953</v>
          </cell>
          <cell r="O568">
            <v>42705</v>
          </cell>
          <cell r="P568" t="str">
            <v>Ppl0031Au</v>
          </cell>
          <cell r="Q568" t="str">
            <v>Redpoint Global Infrastructure Fund</v>
          </cell>
          <cell r="R568" t="str">
            <v>Redpoint Pty Ltd (Antares Capital Partners Ltd)</v>
          </cell>
          <cell r="T568">
            <v>2.5167452542000004</v>
          </cell>
          <cell r="X568" t="str">
            <v>RPO01.ASX</v>
          </cell>
          <cell r="Y568">
            <v>154.87649999999999</v>
          </cell>
          <cell r="Z568" t="str">
            <v>RPO01.ASX</v>
          </cell>
          <cell r="AA568">
            <v>162.19999999999999</v>
          </cell>
          <cell r="AB568" t="str">
            <v>RPO01.ASX</v>
          </cell>
          <cell r="AC568">
            <v>101.69</v>
          </cell>
          <cell r="AD568" t="str">
            <v>RPO01.ASX</v>
          </cell>
          <cell r="AF568" t="str">
            <v>RPO01.ASX</v>
          </cell>
          <cell r="AG568">
            <v>158.66849999999999</v>
          </cell>
        </row>
        <row r="569">
          <cell r="A569" t="str">
            <v>PLM01</v>
          </cell>
          <cell r="B569" t="str">
            <v>PLM01.ASX</v>
          </cell>
          <cell r="C569" t="str">
            <v>PLM01.ASX</v>
          </cell>
          <cell r="D569">
            <v>38</v>
          </cell>
          <cell r="E569">
            <v>797383.89</v>
          </cell>
          <cell r="F569">
            <v>144.19999999999999</v>
          </cell>
          <cell r="G569">
            <v>534855.02999999991</v>
          </cell>
          <cell r="J569" t="str">
            <v>PLM01.ASX</v>
          </cell>
          <cell r="K569" t="str">
            <v>PLM01</v>
          </cell>
          <cell r="L569">
            <v>1</v>
          </cell>
          <cell r="M569">
            <v>51500000</v>
          </cell>
          <cell r="N569">
            <v>18977141.090999998</v>
          </cell>
          <cell r="O569">
            <v>41892</v>
          </cell>
          <cell r="P569" t="str">
            <v>Pla0017Au</v>
          </cell>
          <cell r="Q569" t="str">
            <v>Platinum Global Fund</v>
          </cell>
          <cell r="R569" t="str">
            <v>Platinum Investment Management Limited</v>
          </cell>
          <cell r="X569" t="str">
            <v>PLM01.ASX</v>
          </cell>
          <cell r="Y569">
            <v>145.81</v>
          </cell>
          <cell r="Z569" t="str">
            <v>PLM01.ASX</v>
          </cell>
          <cell r="AA569">
            <v>128.01</v>
          </cell>
          <cell r="AB569" t="str">
            <v>PLM01.ASX</v>
          </cell>
          <cell r="AC569">
            <v>119.29</v>
          </cell>
          <cell r="AD569" t="str">
            <v>PLM01.ASX</v>
          </cell>
          <cell r="AF569" t="str">
            <v>PLM01.ASX</v>
          </cell>
          <cell r="AG569">
            <v>144.19999999999999</v>
          </cell>
        </row>
        <row r="570">
          <cell r="A570" t="str">
            <v>PMF01</v>
          </cell>
          <cell r="B570" t="str">
            <v>PMF01.ASX</v>
          </cell>
          <cell r="C570" t="str">
            <v>PMF01.ASX</v>
          </cell>
          <cell r="D570">
            <v>17</v>
          </cell>
          <cell r="E570">
            <v>1166407.3700000001</v>
          </cell>
          <cell r="F570">
            <v>98.03</v>
          </cell>
          <cell r="G570">
            <v>1190963.6897999998</v>
          </cell>
          <cell r="J570" t="str">
            <v>PMF01.ASX</v>
          </cell>
          <cell r="K570" t="str">
            <v>PMF01</v>
          </cell>
          <cell r="L570">
            <v>1</v>
          </cell>
          <cell r="M570">
            <v>1185456540</v>
          </cell>
          <cell r="N570">
            <v>13626604.638</v>
          </cell>
          <cell r="O570">
            <v>41767</v>
          </cell>
          <cell r="P570" t="str">
            <v>Etl0019Au</v>
          </cell>
          <cell r="Q570" t="str">
            <v>Pimco Eqt Wholesale Global Credit Fund-Classb Unit</v>
          </cell>
          <cell r="R570" t="str">
            <v>Pimco Australia Management Limited</v>
          </cell>
          <cell r="S570">
            <v>0</v>
          </cell>
          <cell r="T570">
            <v>1.0452999999999999</v>
          </cell>
          <cell r="X570" t="str">
            <v>PMF01.ASX</v>
          </cell>
          <cell r="Y570">
            <v>97.99</v>
          </cell>
          <cell r="Z570" t="str">
            <v>PMF01.ASX</v>
          </cell>
          <cell r="AA570">
            <v>99.88</v>
          </cell>
          <cell r="AB570" t="str">
            <v>PMF01.ASX</v>
          </cell>
          <cell r="AC570">
            <v>99.07</v>
          </cell>
          <cell r="AD570" t="str">
            <v>PMF01.ASX</v>
          </cell>
          <cell r="AF570" t="str">
            <v>PMF01.ASX</v>
          </cell>
          <cell r="AG570">
            <v>98.03</v>
          </cell>
        </row>
        <row r="571">
          <cell r="A571" t="str">
            <v>PMF02</v>
          </cell>
          <cell r="B571" t="str">
            <v>PMF02.ASX</v>
          </cell>
          <cell r="C571" t="str">
            <v>PMF02.ASX</v>
          </cell>
          <cell r="D571">
            <v>28</v>
          </cell>
          <cell r="E571">
            <v>1856378.23</v>
          </cell>
          <cell r="F571">
            <v>100.4</v>
          </cell>
          <cell r="G571">
            <v>1854323.4833000002</v>
          </cell>
          <cell r="J571" t="str">
            <v>PMF02.ASX</v>
          </cell>
          <cell r="K571" t="str">
            <v>PMF02</v>
          </cell>
          <cell r="L571">
            <v>1</v>
          </cell>
          <cell r="M571">
            <v>2801922790</v>
          </cell>
          <cell r="N571">
            <v>29587682.549899999</v>
          </cell>
          <cell r="O571">
            <v>41767</v>
          </cell>
          <cell r="P571" t="str">
            <v>Etl0016Au</v>
          </cell>
          <cell r="Q571" t="str">
            <v>Pimco Eqt Wholesale Div Fixed Int Fund-Classb Unit</v>
          </cell>
          <cell r="R571" t="str">
            <v>Pimco Australia Management Limited</v>
          </cell>
          <cell r="S571">
            <v>0</v>
          </cell>
          <cell r="T571">
            <v>1.0539000000000001</v>
          </cell>
          <cell r="X571" t="str">
            <v>PMF02.ASX</v>
          </cell>
          <cell r="Y571">
            <v>100.14</v>
          </cell>
          <cell r="Z571" t="str">
            <v>PMF02.ASX</v>
          </cell>
          <cell r="AA571">
            <v>100.11</v>
          </cell>
          <cell r="AB571" t="str">
            <v>PMF02.ASX</v>
          </cell>
          <cell r="AC571">
            <v>99.65</v>
          </cell>
          <cell r="AD571" t="str">
            <v>PMF02.ASX</v>
          </cell>
          <cell r="AF571" t="str">
            <v>PMF02.ASX</v>
          </cell>
          <cell r="AG571">
            <v>100.4</v>
          </cell>
        </row>
        <row r="572">
          <cell r="A572" t="str">
            <v>PMF03</v>
          </cell>
          <cell r="B572" t="str">
            <v>PMF03.ASX</v>
          </cell>
          <cell r="C572" t="str">
            <v>PMF03.ASX</v>
          </cell>
          <cell r="D572">
            <v>26</v>
          </cell>
          <cell r="E572">
            <v>1068237.69</v>
          </cell>
          <cell r="F572">
            <v>99.98</v>
          </cell>
          <cell r="G572">
            <v>1071531.2122000002</v>
          </cell>
          <cell r="J572" t="str">
            <v>PMF03.ASX</v>
          </cell>
          <cell r="K572" t="str">
            <v>PMF03</v>
          </cell>
          <cell r="L572">
            <v>1</v>
          </cell>
          <cell r="M572">
            <v>4867590890</v>
          </cell>
          <cell r="N572">
            <v>29398998.864300001</v>
          </cell>
          <cell r="O572">
            <v>41767</v>
          </cell>
          <cell r="P572" t="str">
            <v>Etl0018Au</v>
          </cell>
          <cell r="Q572" t="str">
            <v>Pimco Eqt Wholesale Global Bond Fund- Class B Unit</v>
          </cell>
          <cell r="R572" t="str">
            <v>Pimco Australia Management Limited</v>
          </cell>
          <cell r="S572">
            <v>0</v>
          </cell>
          <cell r="T572">
            <v>1.3573999999999999</v>
          </cell>
          <cell r="X572" t="str">
            <v>PMF03.ASX</v>
          </cell>
          <cell r="Y572">
            <v>99.76</v>
          </cell>
          <cell r="Z572" t="str">
            <v>PMF03.ASX</v>
          </cell>
          <cell r="AA572">
            <v>101.11</v>
          </cell>
          <cell r="AB572" t="str">
            <v>PMF03.ASX</v>
          </cell>
          <cell r="AC572">
            <v>99.84</v>
          </cell>
          <cell r="AD572" t="str">
            <v>PMF03.ASX</v>
          </cell>
          <cell r="AF572" t="str">
            <v>PMF03.ASX</v>
          </cell>
          <cell r="AG572">
            <v>99.98</v>
          </cell>
        </row>
        <row r="573">
          <cell r="A573" t="str">
            <v>PMF04</v>
          </cell>
          <cell r="B573" t="str">
            <v>PMF04.ASX</v>
          </cell>
          <cell r="C573" t="str">
            <v>PMF04.ASX</v>
          </cell>
          <cell r="D573">
            <v>10</v>
          </cell>
          <cell r="E573">
            <v>494586.45</v>
          </cell>
          <cell r="F573">
            <v>101.91</v>
          </cell>
          <cell r="G573">
            <v>487666.02909999999</v>
          </cell>
          <cell r="J573" t="str">
            <v>PMF04.ASX</v>
          </cell>
          <cell r="K573" t="str">
            <v>PMF04</v>
          </cell>
          <cell r="L573">
            <v>1</v>
          </cell>
          <cell r="M573">
            <v>2645809240</v>
          </cell>
          <cell r="N573">
            <v>9963680.6250999998</v>
          </cell>
          <cell r="O573">
            <v>41767</v>
          </cell>
          <cell r="P573" t="str">
            <v>Etl0015Au</v>
          </cell>
          <cell r="Q573" t="str">
            <v>Pimco Eqt Wholesale Aust Bond Fund - Class B Unit</v>
          </cell>
          <cell r="R573" t="str">
            <v>Pimco Australia Management Limited</v>
          </cell>
          <cell r="S573">
            <v>0</v>
          </cell>
          <cell r="T573">
            <v>1.0688</v>
          </cell>
          <cell r="X573" t="str">
            <v>PMF04.ASX</v>
          </cell>
          <cell r="Y573">
            <v>101.59</v>
          </cell>
          <cell r="Z573" t="str">
            <v>PMF04.ASX</v>
          </cell>
          <cell r="AA573">
            <v>100.26</v>
          </cell>
          <cell r="AB573" t="str">
            <v>PMF04.ASX</v>
          </cell>
          <cell r="AC573">
            <v>101.31</v>
          </cell>
          <cell r="AD573" t="str">
            <v>PMF04.ASX</v>
          </cell>
          <cell r="AF573" t="str">
            <v>PMF04.ASX</v>
          </cell>
          <cell r="AG573">
            <v>101.91</v>
          </cell>
        </row>
        <row r="574">
          <cell r="A574" t="str">
            <v>PMF05</v>
          </cell>
          <cell r="B574" t="str">
            <v>PMF05.ASX</v>
          </cell>
          <cell r="C574" t="str">
            <v>PMF05.ASX</v>
          </cell>
          <cell r="D574">
            <v>1</v>
          </cell>
          <cell r="E574">
            <v>89442.54</v>
          </cell>
          <cell r="F574">
            <v>104.24</v>
          </cell>
          <cell r="G574">
            <v>85870.331200000001</v>
          </cell>
          <cell r="J574" t="str">
            <v>PMF05.ASX</v>
          </cell>
          <cell r="K574" t="str">
            <v>PMF05</v>
          </cell>
          <cell r="L574">
            <v>1</v>
          </cell>
          <cell r="M574">
            <v>359023450</v>
          </cell>
          <cell r="N574">
            <v>728587.87179999996</v>
          </cell>
          <cell r="O574">
            <v>41767</v>
          </cell>
          <cell r="P574" t="str">
            <v>Etl0182Au</v>
          </cell>
          <cell r="Q574" t="str">
            <v>Pimco Australian Short-Term Bond Fund-Whl Class</v>
          </cell>
          <cell r="R574" t="str">
            <v>Pimco Australia Management Limited</v>
          </cell>
          <cell r="S574">
            <v>0</v>
          </cell>
          <cell r="T574">
            <v>0.88339999999999996</v>
          </cell>
          <cell r="X574" t="str">
            <v>PMF05.ASX</v>
          </cell>
          <cell r="Y574">
            <v>104.02</v>
          </cell>
          <cell r="Z574" t="str">
            <v>PMF05.ASX</v>
          </cell>
          <cell r="AA574">
            <v>103.79</v>
          </cell>
          <cell r="AB574" t="str">
            <v>PMF05.ASX</v>
          </cell>
          <cell r="AC574">
            <v>103.78</v>
          </cell>
          <cell r="AD574" t="str">
            <v>PMF05.ASX</v>
          </cell>
          <cell r="AF574" t="str">
            <v>PMF05.ASX</v>
          </cell>
          <cell r="AG574">
            <v>104.24</v>
          </cell>
        </row>
        <row r="575">
          <cell r="A575" t="str">
            <v>PMF06</v>
          </cell>
          <cell r="B575" t="str">
            <v>PMF06.ASX</v>
          </cell>
          <cell r="C575" t="str">
            <v>PMF06.ASX</v>
          </cell>
          <cell r="D575">
            <v>2</v>
          </cell>
          <cell r="E575">
            <v>340553.43999999994</v>
          </cell>
          <cell r="F575">
            <v>103.7</v>
          </cell>
          <cell r="G575">
            <v>328794.1618</v>
          </cell>
          <cell r="J575" t="str">
            <v>PMF06.ASX</v>
          </cell>
          <cell r="K575" t="str">
            <v>PMF06</v>
          </cell>
          <cell r="L575">
            <v>1</v>
          </cell>
          <cell r="M575">
            <v>52620930</v>
          </cell>
          <cell r="N575">
            <v>4132829.4123</v>
          </cell>
          <cell r="O575">
            <v>41767</v>
          </cell>
          <cell r="P575" t="str">
            <v>Etl0404Au</v>
          </cell>
          <cell r="Q575" t="str">
            <v>Pimco Eqt Wholesale Unconstrain Bond Fd-Class B</v>
          </cell>
          <cell r="R575" t="str">
            <v>Pimco Australia Management Limited</v>
          </cell>
          <cell r="S575">
            <v>0</v>
          </cell>
          <cell r="T575">
            <v>1.6135999999999999</v>
          </cell>
          <cell r="X575" t="str">
            <v>PMF06.ASX</v>
          </cell>
          <cell r="Y575">
            <v>103.93</v>
          </cell>
          <cell r="Z575" t="str">
            <v>PMF06.ASX</v>
          </cell>
          <cell r="AA575">
            <v>103.5</v>
          </cell>
          <cell r="AB575" t="str">
            <v>PMF06.ASX</v>
          </cell>
          <cell r="AC575">
            <v>102.16</v>
          </cell>
          <cell r="AD575" t="str">
            <v>PMF06.ASX</v>
          </cell>
          <cell r="AF575" t="str">
            <v>PMF06.ASX</v>
          </cell>
          <cell r="AG575">
            <v>103.7</v>
          </cell>
        </row>
        <row r="576">
          <cell r="A576" t="str">
            <v>PMF07</v>
          </cell>
          <cell r="B576" t="str">
            <v>PMF07.ASX</v>
          </cell>
          <cell r="C576" t="str">
            <v>PMF07.ASX</v>
          </cell>
          <cell r="D576">
            <v>4</v>
          </cell>
          <cell r="E576">
            <v>205373.72999999998</v>
          </cell>
          <cell r="F576">
            <v>101.21</v>
          </cell>
          <cell r="G576">
            <v>201258.52830000001</v>
          </cell>
          <cell r="J576" t="str">
            <v>PMF07.ASX</v>
          </cell>
          <cell r="K576" t="str">
            <v>PMF07</v>
          </cell>
          <cell r="L576">
            <v>1</v>
          </cell>
          <cell r="M576">
            <v>52119710</v>
          </cell>
          <cell r="N576">
            <v>3578960.1828999999</v>
          </cell>
          <cell r="O576">
            <v>42464</v>
          </cell>
          <cell r="P576" t="str">
            <v>Etl0445Au</v>
          </cell>
          <cell r="Q576" t="str">
            <v>Pimco Capital Securities Fund - Wholesale Class</v>
          </cell>
          <cell r="R576" t="str">
            <v>Pimco Australia Management Limited</v>
          </cell>
          <cell r="T576">
            <v>3.2747000000000002</v>
          </cell>
          <cell r="X576" t="str">
            <v>PMF07.ASX</v>
          </cell>
          <cell r="Y576">
            <v>101.31</v>
          </cell>
          <cell r="Z576" t="str">
            <v>PMF07.ASX</v>
          </cell>
          <cell r="AA576">
            <v>102.54</v>
          </cell>
          <cell r="AB576" t="str">
            <v>PMF07.ASX</v>
          </cell>
          <cell r="AC576">
            <v>119.05</v>
          </cell>
          <cell r="AD576" t="str">
            <v>PMF07.ASX</v>
          </cell>
          <cell r="AF576" t="str">
            <v>PMF07.ASX</v>
          </cell>
          <cell r="AG576">
            <v>101.21</v>
          </cell>
        </row>
        <row r="577">
          <cell r="A577" t="str">
            <v>PMF08</v>
          </cell>
          <cell r="B577" t="str">
            <v>PMF08.ASX</v>
          </cell>
          <cell r="C577" t="str">
            <v>PMF08.ASX</v>
          </cell>
          <cell r="D577">
            <v>22</v>
          </cell>
          <cell r="E577">
            <v>728365.67</v>
          </cell>
          <cell r="F577">
            <v>104.16</v>
          </cell>
          <cell r="G577">
            <v>698837.9105</v>
          </cell>
          <cell r="J577" t="str">
            <v>PMF08.ASX</v>
          </cell>
          <cell r="K577" t="str">
            <v>PMF08</v>
          </cell>
          <cell r="L577">
            <v>1</v>
          </cell>
          <cell r="M577">
            <v>334949650</v>
          </cell>
          <cell r="N577">
            <v>18071353.3013</v>
          </cell>
          <cell r="O577">
            <v>42464</v>
          </cell>
          <cell r="P577" t="str">
            <v>Etl0458Au</v>
          </cell>
          <cell r="Q577" t="str">
            <v>Pimco Income Fund - Wholesale Class</v>
          </cell>
          <cell r="R577" t="str">
            <v>Pimco Australia Management Limited</v>
          </cell>
          <cell r="T577">
            <v>3.6630000000000007</v>
          </cell>
          <cell r="X577" t="str">
            <v>PMF08.ASX</v>
          </cell>
          <cell r="Y577">
            <v>104.73</v>
          </cell>
          <cell r="Z577" t="str">
            <v>PMF08.ASX</v>
          </cell>
          <cell r="AA577">
            <v>107.34</v>
          </cell>
          <cell r="AB577" t="str">
            <v>PMF08.ASX</v>
          </cell>
          <cell r="AC577">
            <v>101.91</v>
          </cell>
          <cell r="AD577" t="str">
            <v>PMF08.ASX</v>
          </cell>
          <cell r="AF577" t="str">
            <v>PMF08.ASX</v>
          </cell>
          <cell r="AG577">
            <v>104.16</v>
          </cell>
        </row>
        <row r="578">
          <cell r="A578" t="str">
            <v>PMF09</v>
          </cell>
          <cell r="B578" t="str">
            <v>PMF09.ASX</v>
          </cell>
          <cell r="C578" t="str">
            <v>PMF09.ASX</v>
          </cell>
          <cell r="D578">
            <v>2</v>
          </cell>
          <cell r="E578">
            <v>50000</v>
          </cell>
          <cell r="F578">
            <v>102.45</v>
          </cell>
          <cell r="G578">
            <v>48909.367100000003</v>
          </cell>
          <cell r="J578" t="str">
            <v>PMF09.ASX</v>
          </cell>
          <cell r="K578" t="str">
            <v>PMF09</v>
          </cell>
          <cell r="L578">
            <v>1</v>
          </cell>
          <cell r="M578">
            <v>5724850</v>
          </cell>
          <cell r="N578">
            <v>314890.01010000001</v>
          </cell>
          <cell r="O578">
            <v>42829</v>
          </cell>
          <cell r="P578" t="str">
            <v>Pic6396Au</v>
          </cell>
          <cell r="Q578" t="str">
            <v>Pimco Esg Global Bond Fund - Wholesale Class</v>
          </cell>
          <cell r="R578" t="str">
            <v>Pimco Australia Management Limited</v>
          </cell>
          <cell r="T578">
            <v>1.1338999999999999</v>
          </cell>
          <cell r="X578" t="str">
            <v>PMF09.ASX</v>
          </cell>
          <cell r="Y578">
            <v>102.15</v>
          </cell>
          <cell r="Z578" t="str">
            <v>PMF09.ASX</v>
          </cell>
          <cell r="AA578">
            <v>102.26</v>
          </cell>
          <cell r="AB578" t="str">
            <v>PMF09.ASX</v>
          </cell>
          <cell r="AC578">
            <v>76.8</v>
          </cell>
          <cell r="AD578" t="str">
            <v>PMF09.ASX</v>
          </cell>
          <cell r="AF578" t="str">
            <v>PMF09.ASX</v>
          </cell>
          <cell r="AG578">
            <v>102.45</v>
          </cell>
        </row>
        <row r="579">
          <cell r="A579" t="str">
            <v>PMW01</v>
          </cell>
          <cell r="B579" t="str">
            <v>PMW01.ASX</v>
          </cell>
          <cell r="C579" t="str">
            <v>PMW01.ASX</v>
          </cell>
          <cell r="D579">
            <v>4</v>
          </cell>
          <cell r="E579">
            <v>43562.400000000001</v>
          </cell>
          <cell r="F579">
            <v>171.25</v>
          </cell>
          <cell r="G579">
            <v>25908.1659</v>
          </cell>
          <cell r="J579" t="str">
            <v>PMW01.ASX</v>
          </cell>
          <cell r="K579" t="str">
            <v>PMW01</v>
          </cell>
          <cell r="L579">
            <v>1</v>
          </cell>
          <cell r="M579">
            <v>98370000</v>
          </cell>
          <cell r="N579">
            <v>1389977.6676</v>
          </cell>
          <cell r="O579">
            <v>41953</v>
          </cell>
          <cell r="P579" t="str">
            <v>Wpc0002Au</v>
          </cell>
          <cell r="Q579" t="str">
            <v>Peters MacGregor Global Fund</v>
          </cell>
          <cell r="R579" t="str">
            <v>Peters MacGregor Capital Management Limited</v>
          </cell>
          <cell r="X579" t="str">
            <v>PMW01.ASX</v>
          </cell>
          <cell r="Y579">
            <v>163.41</v>
          </cell>
          <cell r="Z579" t="str">
            <v>PMW01.ASX</v>
          </cell>
          <cell r="AA579">
            <v>167.92</v>
          </cell>
          <cell r="AB579" t="str">
            <v>PMW01.ASX</v>
          </cell>
          <cell r="AC579">
            <v>188.73</v>
          </cell>
          <cell r="AD579" t="str">
            <v>PMW01.ASX</v>
          </cell>
          <cell r="AF579" t="str">
            <v>PMW01.ASX</v>
          </cell>
          <cell r="AG579">
            <v>171.25</v>
          </cell>
        </row>
        <row r="580">
          <cell r="A580" t="str">
            <v>QGI01</v>
          </cell>
          <cell r="B580" t="str">
            <v>QGI01.ASX</v>
          </cell>
          <cell r="C580" t="str">
            <v>QGI01.ASX</v>
          </cell>
          <cell r="D580" t="str">
            <v>0</v>
          </cell>
          <cell r="E580" t="str">
            <v>0</v>
          </cell>
          <cell r="F580">
            <v>113.66</v>
          </cell>
          <cell r="G580" t="str">
            <v>0</v>
          </cell>
          <cell r="J580" t="str">
            <v>QGI01.ASX</v>
          </cell>
          <cell r="K580" t="str">
            <v>QGI01</v>
          </cell>
          <cell r="L580">
            <v>1</v>
          </cell>
          <cell r="M580">
            <v>34026000</v>
          </cell>
          <cell r="N580">
            <v>100507.4912</v>
          </cell>
          <cell r="O580">
            <v>42452</v>
          </cell>
          <cell r="P580" t="str">
            <v>Bfl0020Au</v>
          </cell>
          <cell r="Q580" t="str">
            <v>Quay Global Real Estate Fund</v>
          </cell>
          <cell r="R580" t="str">
            <v>Bennelong Funds Management Limited(Quay)</v>
          </cell>
          <cell r="T580">
            <v>0.36170000000000002</v>
          </cell>
          <cell r="X580" t="str">
            <v>QGI01.ASX</v>
          </cell>
          <cell r="Y580">
            <v>108.85</v>
          </cell>
          <cell r="Z580" t="str">
            <v>QGI01.ASX</v>
          </cell>
          <cell r="AA580">
            <v>102.89</v>
          </cell>
          <cell r="AB580" t="str">
            <v>QGI01.ASX</v>
          </cell>
          <cell r="AC580">
            <v>185.88</v>
          </cell>
          <cell r="AD580" t="str">
            <v>QGI01.ASX</v>
          </cell>
          <cell r="AF580" t="str">
            <v>QGI01.ASX</v>
          </cell>
          <cell r="AG580">
            <v>113.66</v>
          </cell>
        </row>
        <row r="581">
          <cell r="A581" t="str">
            <v>SCH11</v>
          </cell>
          <cell r="B581" t="str">
            <v>SCH11.ASX</v>
          </cell>
          <cell r="C581" t="str">
            <v>SCH11.ASX</v>
          </cell>
          <cell r="D581">
            <v>12</v>
          </cell>
          <cell r="E581">
            <v>770195.48</v>
          </cell>
          <cell r="F581">
            <v>114.47</v>
          </cell>
          <cell r="G581">
            <v>671857.04650000005</v>
          </cell>
          <cell r="J581" t="str">
            <v>SCH11.ASX</v>
          </cell>
          <cell r="K581" t="str">
            <v>SCH11</v>
          </cell>
          <cell r="L581">
            <v>1</v>
          </cell>
          <cell r="M581">
            <v>1961229620</v>
          </cell>
          <cell r="N581">
            <v>17306523.969500002</v>
          </cell>
          <cell r="O581">
            <v>42094</v>
          </cell>
          <cell r="P581" t="str">
            <v>SCH0047Au</v>
          </cell>
          <cell r="Q581" t="str">
            <v>Schroder Real Return Cpi Plus 5% Fund - W</v>
          </cell>
          <cell r="R581" t="str">
            <v>Schroder Investment Management Australia Limited</v>
          </cell>
          <cell r="T581">
            <v>1.9670700000000001</v>
          </cell>
          <cell r="X581" t="str">
            <v>SCH11.ASX</v>
          </cell>
          <cell r="Y581">
            <v>113.67</v>
          </cell>
          <cell r="Z581" t="str">
            <v>SCH11.ASX</v>
          </cell>
          <cell r="AA581">
            <v>116.4</v>
          </cell>
          <cell r="AB581" t="str">
            <v>SCH11.ASX</v>
          </cell>
          <cell r="AC581">
            <v>117.62</v>
          </cell>
          <cell r="AD581" t="str">
            <v>SCH11.ASX</v>
          </cell>
          <cell r="AF581" t="str">
            <v>SCH11.ASX</v>
          </cell>
          <cell r="AG581">
            <v>114.47</v>
          </cell>
        </row>
        <row r="582">
          <cell r="A582" t="str">
            <v>SCH12</v>
          </cell>
          <cell r="B582" t="str">
            <v>SCH12.ASX</v>
          </cell>
          <cell r="C582" t="str">
            <v>SCH12.ASX</v>
          </cell>
          <cell r="D582">
            <v>2</v>
          </cell>
          <cell r="E582">
            <v>573588.61</v>
          </cell>
          <cell r="F582">
            <v>97.12</v>
          </cell>
          <cell r="G582">
            <v>590292.71990000003</v>
          </cell>
          <cell r="J582" t="str">
            <v>SCH12.ASX</v>
          </cell>
          <cell r="K582" t="str">
            <v>SCH12</v>
          </cell>
          <cell r="L582">
            <v>1</v>
          </cell>
          <cell r="M582">
            <v>23653920</v>
          </cell>
          <cell r="N582">
            <v>1665694.6148000001</v>
          </cell>
          <cell r="O582">
            <v>42150</v>
          </cell>
          <cell r="P582" t="str">
            <v>SCH0096Au</v>
          </cell>
          <cell r="Q582" t="str">
            <v>Schroder Real Return Cpi Plus 3.5% Fund</v>
          </cell>
          <cell r="R582" t="str">
            <v>Schroder Investment Management Australia Limited</v>
          </cell>
          <cell r="T582">
            <v>2.1958500499999998</v>
          </cell>
          <cell r="X582" t="str">
            <v>SCH12.ASX</v>
          </cell>
          <cell r="Y582">
            <v>96.67</v>
          </cell>
          <cell r="Z582" t="str">
            <v>SCH12.ASX</v>
          </cell>
          <cell r="AA582">
            <v>98.78</v>
          </cell>
          <cell r="AB582" t="str">
            <v>SCH12.ASX</v>
          </cell>
          <cell r="AC582">
            <v>99.45</v>
          </cell>
          <cell r="AD582" t="str">
            <v>SCH12.ASX</v>
          </cell>
          <cell r="AF582" t="str">
            <v>SCH12.ASX</v>
          </cell>
          <cell r="AG582">
            <v>97.12</v>
          </cell>
        </row>
        <row r="583">
          <cell r="A583" t="str">
            <v>SCH21</v>
          </cell>
          <cell r="B583" t="str">
            <v>SCH21.ASX</v>
          </cell>
          <cell r="C583" t="str">
            <v>SCH21.ASX</v>
          </cell>
          <cell r="D583">
            <v>4</v>
          </cell>
          <cell r="E583">
            <v>148244.65</v>
          </cell>
          <cell r="F583">
            <v>129.31</v>
          </cell>
          <cell r="G583">
            <v>116473.3763</v>
          </cell>
          <cell r="J583" t="str">
            <v>SCH21.ASX</v>
          </cell>
          <cell r="K583" t="str">
            <v>SCH21</v>
          </cell>
          <cell r="L583">
            <v>1</v>
          </cell>
          <cell r="M583">
            <v>1853286440</v>
          </cell>
          <cell r="N583">
            <v>4341727.2330999998</v>
          </cell>
          <cell r="O583">
            <v>42094</v>
          </cell>
          <cell r="P583" t="str">
            <v>SCH0101Au</v>
          </cell>
          <cell r="Q583" t="str">
            <v>Schroder Wholesale Australian Equity Fund - W</v>
          </cell>
          <cell r="R583" t="str">
            <v>Schroder Investment Management Australia Limited</v>
          </cell>
          <cell r="T583">
            <v>1.979195</v>
          </cell>
          <cell r="X583" t="str">
            <v>SCH21.ASX</v>
          </cell>
          <cell r="Y583">
            <v>124.62</v>
          </cell>
          <cell r="Z583" t="str">
            <v>SCH21.ASX</v>
          </cell>
          <cell r="AA583">
            <v>118.61</v>
          </cell>
          <cell r="AB583" t="str">
            <v>SCH21.ASX</v>
          </cell>
          <cell r="AC583">
            <v>113.68</v>
          </cell>
          <cell r="AD583" t="str">
            <v>SCH21.ASX</v>
          </cell>
          <cell r="AF583" t="str">
            <v>SCH21.ASX</v>
          </cell>
          <cell r="AG583">
            <v>129.31</v>
          </cell>
        </row>
        <row r="584">
          <cell r="A584" t="str">
            <v>SCH22</v>
          </cell>
          <cell r="B584" t="str">
            <v>SCH22.ASX</v>
          </cell>
          <cell r="C584" t="str">
            <v>SCH22.ASX</v>
          </cell>
          <cell r="D584">
            <v>2</v>
          </cell>
          <cell r="E584">
            <v>243058.14</v>
          </cell>
          <cell r="F584">
            <v>108.9</v>
          </cell>
          <cell r="G584">
            <v>226500.92259999999</v>
          </cell>
          <cell r="J584" t="str">
            <v>SCH22.ASX</v>
          </cell>
          <cell r="K584" t="str">
            <v>SCH22</v>
          </cell>
          <cell r="L584">
            <v>1</v>
          </cell>
          <cell r="M584">
            <v>9511440</v>
          </cell>
          <cell r="N584">
            <v>1745497.3602</v>
          </cell>
          <cell r="O584">
            <v>42094</v>
          </cell>
          <cell r="P584" t="str">
            <v>SCH0035Au</v>
          </cell>
          <cell r="Q584" t="str">
            <v>Schroder Equity Opportunities Fund - W</v>
          </cell>
          <cell r="R584" t="str">
            <v>Schroder Investment Management Australia Limited</v>
          </cell>
          <cell r="T584">
            <v>1.3496249600000001</v>
          </cell>
          <cell r="X584" t="str">
            <v>SCH22.ASX</v>
          </cell>
          <cell r="Y584">
            <v>106.21</v>
          </cell>
          <cell r="Z584" t="str">
            <v>SCH22.ASX</v>
          </cell>
          <cell r="AA584">
            <v>101.8</v>
          </cell>
          <cell r="AB584" t="str">
            <v>SCH22.ASX</v>
          </cell>
          <cell r="AC584">
            <v>90.04</v>
          </cell>
          <cell r="AD584" t="str">
            <v>SCH22.ASX</v>
          </cell>
          <cell r="AF584" t="str">
            <v>SCH22.ASX</v>
          </cell>
          <cell r="AG584">
            <v>108.9</v>
          </cell>
        </row>
        <row r="585">
          <cell r="A585" t="str">
            <v>SCH31</v>
          </cell>
          <cell r="B585" t="str">
            <v>SCH31.ASX</v>
          </cell>
          <cell r="C585" t="str">
            <v>SCH31.ASX</v>
          </cell>
          <cell r="D585">
            <v>3</v>
          </cell>
          <cell r="E585">
            <v>168394.87000000002</v>
          </cell>
          <cell r="F585">
            <v>63.92</v>
          </cell>
          <cell r="G585">
            <v>259108.89279999997</v>
          </cell>
          <cell r="J585" t="str">
            <v>SCH31.ASX</v>
          </cell>
          <cell r="K585" t="str">
            <v>SCH31</v>
          </cell>
          <cell r="L585">
            <v>1</v>
          </cell>
          <cell r="M585">
            <v>706100440</v>
          </cell>
          <cell r="N585">
            <v>3155548.8616999998</v>
          </cell>
          <cell r="O585">
            <v>42094</v>
          </cell>
          <cell r="P585" t="str">
            <v>SCH0003Au</v>
          </cell>
          <cell r="Q585" t="str">
            <v>Schroder Global Core Fund - W</v>
          </cell>
          <cell r="R585" t="str">
            <v>Schroder Investment Management Australia Limited</v>
          </cell>
          <cell r="T585">
            <v>0.70931999999999995</v>
          </cell>
          <cell r="X585" t="str">
            <v>SCH31.ASX</v>
          </cell>
          <cell r="Y585">
            <v>63.01</v>
          </cell>
          <cell r="Z585" t="str">
            <v>SCH31.ASX</v>
          </cell>
          <cell r="AA585">
            <v>64.5</v>
          </cell>
          <cell r="AB585" t="str">
            <v>SCH31.ASX</v>
          </cell>
          <cell r="AC585">
            <v>77.33</v>
          </cell>
          <cell r="AD585" t="str">
            <v>SCH31.ASX</v>
          </cell>
          <cell r="AF585" t="str">
            <v>SCH31.ASX</v>
          </cell>
          <cell r="AG585">
            <v>63.92</v>
          </cell>
        </row>
        <row r="586">
          <cell r="A586" t="str">
            <v>SCH41</v>
          </cell>
          <cell r="B586" t="str">
            <v>SCH41.ASX</v>
          </cell>
          <cell r="C586" t="str">
            <v>SCH41.ASX</v>
          </cell>
          <cell r="D586">
            <v>1</v>
          </cell>
          <cell r="E586">
            <v>22082.67</v>
          </cell>
          <cell r="F586">
            <v>115.31</v>
          </cell>
          <cell r="G586">
            <v>18841.868299999998</v>
          </cell>
          <cell r="J586" t="str">
            <v>SCH41.ASX</v>
          </cell>
          <cell r="K586" t="str">
            <v>SCH41</v>
          </cell>
          <cell r="L586">
            <v>1</v>
          </cell>
          <cell r="M586">
            <v>180789560</v>
          </cell>
          <cell r="N586">
            <v>423501.63189999998</v>
          </cell>
          <cell r="O586">
            <v>42094</v>
          </cell>
          <cell r="P586" t="str">
            <v>SCH0034Au</v>
          </cell>
          <cell r="Q586" t="str">
            <v>Schroder Global Emerging Markets Fund - W</v>
          </cell>
          <cell r="R586" t="str">
            <v>Schroder Investment Management Australia Limited</v>
          </cell>
          <cell r="T586">
            <v>0.58689999999999998</v>
          </cell>
          <cell r="X586" t="str">
            <v>SCH41.ASX</v>
          </cell>
          <cell r="Y586">
            <v>115.09</v>
          </cell>
          <cell r="Z586" t="str">
            <v>SCH41.ASX</v>
          </cell>
          <cell r="AA586">
            <v>109.09</v>
          </cell>
          <cell r="AB586" t="str">
            <v>SCH41.ASX</v>
          </cell>
          <cell r="AC586">
            <v>99.63</v>
          </cell>
          <cell r="AD586" t="str">
            <v>SCH41.ASX</v>
          </cell>
          <cell r="AF586" t="str">
            <v>SCH41.ASX</v>
          </cell>
          <cell r="AG586">
            <v>115.31</v>
          </cell>
        </row>
        <row r="587">
          <cell r="A587" t="str">
            <v>SCH42</v>
          </cell>
          <cell r="B587" t="str">
            <v>SCH42.ASX</v>
          </cell>
          <cell r="C587" t="str">
            <v>SCH42.ASX</v>
          </cell>
          <cell r="D587">
            <v>5</v>
          </cell>
          <cell r="E587">
            <v>202038.68</v>
          </cell>
          <cell r="F587">
            <v>267.08999999999997</v>
          </cell>
          <cell r="G587">
            <v>73363.756099999999</v>
          </cell>
          <cell r="J587" t="str">
            <v>SCH42.ASX</v>
          </cell>
          <cell r="K587" t="str">
            <v>SCH42</v>
          </cell>
          <cell r="L587">
            <v>1</v>
          </cell>
          <cell r="M587">
            <v>226720560</v>
          </cell>
          <cell r="N587">
            <v>1458519.9465999999</v>
          </cell>
          <cell r="O587">
            <v>42094</v>
          </cell>
          <cell r="P587" t="str">
            <v>SCH0006Au</v>
          </cell>
          <cell r="Q587" t="str">
            <v>Schroder Asia Pacific Fund - W</v>
          </cell>
          <cell r="R587" t="str">
            <v>Schroder Investment Management Australia Limited</v>
          </cell>
          <cell r="T587">
            <v>0.26340999999999998</v>
          </cell>
          <cell r="X587" t="str">
            <v>SCH42.ASX</v>
          </cell>
          <cell r="Y587">
            <v>267.69</v>
          </cell>
          <cell r="Z587" t="str">
            <v>SCH42.ASX</v>
          </cell>
          <cell r="AA587">
            <v>229.29</v>
          </cell>
          <cell r="AB587" t="str">
            <v>SCH42.ASX</v>
          </cell>
          <cell r="AC587">
            <v>183.82</v>
          </cell>
          <cell r="AD587" t="str">
            <v>SCH42.ASX</v>
          </cell>
          <cell r="AF587" t="str">
            <v>SCH42.ASX</v>
          </cell>
          <cell r="AG587">
            <v>267.08999999999997</v>
          </cell>
        </row>
        <row r="588">
          <cell r="A588" t="str">
            <v>SCH45</v>
          </cell>
          <cell r="B588" t="str">
            <v>SCH45.ASX</v>
          </cell>
          <cell r="C588" t="str">
            <v>SCH45.ASX</v>
          </cell>
          <cell r="D588" t="str">
            <v>0</v>
          </cell>
          <cell r="E588" t="str">
            <v>0</v>
          </cell>
          <cell r="F588">
            <v>110.23</v>
          </cell>
          <cell r="G588" t="str">
            <v>0</v>
          </cell>
          <cell r="J588" t="str">
            <v>SCH45.ASX</v>
          </cell>
          <cell r="K588" t="str">
            <v>SCH45</v>
          </cell>
          <cell r="L588">
            <v>1</v>
          </cell>
          <cell r="M588">
            <v>0</v>
          </cell>
          <cell r="N588">
            <v>91637.589699999997</v>
          </cell>
          <cell r="O588">
            <v>42969</v>
          </cell>
          <cell r="P588" t="str">
            <v>SCH0095Au</v>
          </cell>
          <cell r="Q588" t="str">
            <v>Schroder Global Recovery Fund - Wholesale Class</v>
          </cell>
          <cell r="R588" t="str">
            <v>Schroder Investment Management Australia Limited</v>
          </cell>
          <cell r="X588" t="str">
            <v>SCH45.ASX</v>
          </cell>
          <cell r="Y588">
            <v>108.54</v>
          </cell>
          <cell r="Z588" t="str">
            <v>SCH45.ASX</v>
          </cell>
          <cell r="AA588">
            <v>114.08</v>
          </cell>
          <cell r="AB588" t="str">
            <v>SCH45.ASX</v>
          </cell>
          <cell r="AC588">
            <v>123.81</v>
          </cell>
          <cell r="AD588" t="str">
            <v>SCH45.ASX</v>
          </cell>
          <cell r="AF588" t="str">
            <v>SCH45.ASX</v>
          </cell>
          <cell r="AG588">
            <v>110.23</v>
          </cell>
        </row>
        <row r="589">
          <cell r="A589" t="str">
            <v>SCH51</v>
          </cell>
          <cell r="B589" t="str">
            <v>SCH51.ASX</v>
          </cell>
          <cell r="C589" t="str">
            <v>SCH51.ASX</v>
          </cell>
          <cell r="D589">
            <v>20</v>
          </cell>
          <cell r="E589">
            <v>2574805.0100000002</v>
          </cell>
          <cell r="F589">
            <v>108.8</v>
          </cell>
          <cell r="G589">
            <v>2383244.7609000001</v>
          </cell>
          <cell r="J589" t="str">
            <v>SCH51.ASX</v>
          </cell>
          <cell r="K589" t="str">
            <v>SCH51</v>
          </cell>
          <cell r="L589">
            <v>1</v>
          </cell>
          <cell r="M589">
            <v>2160365520</v>
          </cell>
          <cell r="N589">
            <v>11819952.1612</v>
          </cell>
          <cell r="O589">
            <v>42094</v>
          </cell>
          <cell r="P589" t="str">
            <v>SCH0028Au</v>
          </cell>
          <cell r="Q589" t="str">
            <v>Schroder Fixed Income Fund - W</v>
          </cell>
          <cell r="R589" t="str">
            <v>Schroder Investment Management Australia Limited</v>
          </cell>
          <cell r="T589">
            <v>1.6214500000000003</v>
          </cell>
          <cell r="X589" t="str">
            <v>SCH51.ASX</v>
          </cell>
          <cell r="Y589">
            <v>108.39</v>
          </cell>
          <cell r="Z589" t="str">
            <v>SCH51.ASX</v>
          </cell>
          <cell r="AA589">
            <v>109.41</v>
          </cell>
          <cell r="AB589" t="str">
            <v>SCH51.ASX</v>
          </cell>
          <cell r="AC589">
            <v>112.17</v>
          </cell>
          <cell r="AD589" t="str">
            <v>SCH51.ASX</v>
          </cell>
          <cell r="AF589" t="str">
            <v>SCH51.ASX</v>
          </cell>
          <cell r="AG589">
            <v>108.8</v>
          </cell>
        </row>
        <row r="590">
          <cell r="A590" t="str">
            <v>SCH55</v>
          </cell>
          <cell r="B590" t="str">
            <v>SCH55.ASX</v>
          </cell>
          <cell r="C590" t="str">
            <v>SCH55.ASX</v>
          </cell>
          <cell r="D590">
            <v>1</v>
          </cell>
          <cell r="E590">
            <v>150000</v>
          </cell>
          <cell r="F590">
            <v>103.13</v>
          </cell>
          <cell r="G590">
            <v>144871.5472</v>
          </cell>
          <cell r="J590" t="str">
            <v>SCH55.ASX</v>
          </cell>
          <cell r="K590" t="str">
            <v>SCH55</v>
          </cell>
          <cell r="L590">
            <v>1</v>
          </cell>
          <cell r="M590">
            <v>405881180</v>
          </cell>
          <cell r="N590">
            <v>144871.5472</v>
          </cell>
          <cell r="O590">
            <v>43271</v>
          </cell>
          <cell r="P590" t="str">
            <v>SCH0103Au</v>
          </cell>
          <cell r="Q590" t="str">
            <v>Schroder Absolute Return Income Fund - Wholesale C</v>
          </cell>
          <cell r="R590" t="str">
            <v>Schroder Investment Management Australia Limited</v>
          </cell>
          <cell r="T590">
            <v>3.25088665</v>
          </cell>
          <cell r="X590" t="str">
            <v>SCH55.ASX</v>
          </cell>
          <cell r="Z590" t="str">
            <v>SCH55.ASX</v>
          </cell>
          <cell r="AB590" t="str">
            <v>SCH55.ASX</v>
          </cell>
          <cell r="AD590" t="str">
            <v>SCH55.ASX</v>
          </cell>
          <cell r="AF590" t="str">
            <v>SCH55.ASX</v>
          </cell>
          <cell r="AG590">
            <v>103.13</v>
          </cell>
        </row>
        <row r="591">
          <cell r="A591" t="str">
            <v>SHF01</v>
          </cell>
          <cell r="B591" t="str">
            <v>SHF01.ASX</v>
          </cell>
          <cell r="C591" t="str">
            <v>SHF01.ASX</v>
          </cell>
          <cell r="D591">
            <v>1</v>
          </cell>
          <cell r="E591">
            <v>25000</v>
          </cell>
          <cell r="F591">
            <v>202.92</v>
          </cell>
          <cell r="G591">
            <v>12369.5018</v>
          </cell>
          <cell r="J591" t="str">
            <v>SHF01.ASX</v>
          </cell>
          <cell r="K591" t="str">
            <v>SHF01</v>
          </cell>
          <cell r="L591">
            <v>1</v>
          </cell>
          <cell r="M591">
            <v>17387430</v>
          </cell>
          <cell r="N591">
            <v>405145.08760000003</v>
          </cell>
          <cell r="O591">
            <v>41767</v>
          </cell>
          <cell r="P591" t="str">
            <v>Etl0042Au</v>
          </cell>
          <cell r="Q591" t="str">
            <v>Sgh20</v>
          </cell>
          <cell r="R591" t="str">
            <v>SG Hiscock (Equity Trustees Limited)</v>
          </cell>
          <cell r="S591">
            <v>0</v>
          </cell>
          <cell r="T591">
            <v>5.8450829649999996</v>
          </cell>
          <cell r="X591" t="str">
            <v>SHF01.ASX</v>
          </cell>
          <cell r="Y591">
            <v>196.45</v>
          </cell>
          <cell r="Z591" t="str">
            <v>SHF01.ASX</v>
          </cell>
          <cell r="AA591">
            <v>174.09</v>
          </cell>
          <cell r="AB591" t="str">
            <v>SHF01.ASX</v>
          </cell>
          <cell r="AC591">
            <v>192.04</v>
          </cell>
          <cell r="AD591" t="str">
            <v>SHF01.ASX</v>
          </cell>
          <cell r="AF591" t="str">
            <v>SHF01.ASX</v>
          </cell>
          <cell r="AG591">
            <v>202.92</v>
          </cell>
        </row>
        <row r="592">
          <cell r="A592" t="str">
            <v>SHF02</v>
          </cell>
          <cell r="B592" t="str">
            <v>SHF02.ASX</v>
          </cell>
          <cell r="C592" t="str">
            <v>SHF02.ASX</v>
          </cell>
          <cell r="D592">
            <v>22</v>
          </cell>
          <cell r="E592">
            <v>701298.94</v>
          </cell>
          <cell r="F592">
            <v>222.58</v>
          </cell>
          <cell r="G592">
            <v>315440.65950000001</v>
          </cell>
          <cell r="J592" t="str">
            <v>SHF02.ASX</v>
          </cell>
          <cell r="K592" t="str">
            <v>SHF02</v>
          </cell>
          <cell r="L592">
            <v>1</v>
          </cell>
          <cell r="M592">
            <v>591360520</v>
          </cell>
          <cell r="N592">
            <v>7180769.8568000002</v>
          </cell>
          <cell r="O592">
            <v>41767</v>
          </cell>
          <cell r="P592" t="str">
            <v>Etl0062Au</v>
          </cell>
          <cell r="Q592" t="str">
            <v>Sgh Ice</v>
          </cell>
          <cell r="R592" t="str">
            <v>SG Hiscock (Equity Trustees Limited)</v>
          </cell>
          <cell r="S592">
            <v>0</v>
          </cell>
          <cell r="T592">
            <v>2.7837866</v>
          </cell>
          <cell r="X592" t="str">
            <v>SHF02.ASX</v>
          </cell>
          <cell r="Y592">
            <v>219.44</v>
          </cell>
          <cell r="Z592" t="str">
            <v>SHF02.ASX</v>
          </cell>
          <cell r="AA592">
            <v>196.29</v>
          </cell>
          <cell r="AB592" t="str">
            <v>SHF02.ASX</v>
          </cell>
          <cell r="AC592">
            <v>195.32</v>
          </cell>
          <cell r="AD592" t="str">
            <v>SHF02.ASX</v>
          </cell>
          <cell r="AF592" t="str">
            <v>SHF02.ASX</v>
          </cell>
          <cell r="AG592">
            <v>222.58</v>
          </cell>
        </row>
        <row r="593">
          <cell r="A593" t="str">
            <v>SHF03</v>
          </cell>
          <cell r="B593" t="str">
            <v>SHF03.ASX</v>
          </cell>
          <cell r="C593" t="str">
            <v>SHF03.ASX</v>
          </cell>
          <cell r="D593">
            <v>1</v>
          </cell>
          <cell r="E593">
            <v>16224.77</v>
          </cell>
          <cell r="F593">
            <v>35.5</v>
          </cell>
          <cell r="G593">
            <v>45871.559600000001</v>
          </cell>
          <cell r="J593" t="str">
            <v>SHF03.ASX</v>
          </cell>
          <cell r="K593" t="str">
            <v>SHF03</v>
          </cell>
          <cell r="L593">
            <v>1</v>
          </cell>
          <cell r="M593">
            <v>187558860</v>
          </cell>
          <cell r="N593">
            <v>3690125.3185999999</v>
          </cell>
          <cell r="O593">
            <v>41767</v>
          </cell>
          <cell r="P593" t="str">
            <v>Etl0119Au</v>
          </cell>
          <cell r="Q593" t="str">
            <v>Sgh Property Income Fund</v>
          </cell>
          <cell r="R593" t="str">
            <v>SG Hiscock (Equity Trustees Limited)</v>
          </cell>
          <cell r="S593">
            <v>0</v>
          </cell>
          <cell r="T593">
            <v>1.2186817198</v>
          </cell>
          <cell r="X593" t="str">
            <v>SHF03.ASX</v>
          </cell>
          <cell r="Y593">
            <v>35.01</v>
          </cell>
          <cell r="Z593" t="str">
            <v>SHF03.ASX</v>
          </cell>
          <cell r="AA593">
            <v>38.51</v>
          </cell>
          <cell r="AB593" t="str">
            <v>SHF03.ASX</v>
          </cell>
          <cell r="AC593">
            <v>42.08</v>
          </cell>
          <cell r="AD593" t="str">
            <v>SHF03.ASX</v>
          </cell>
          <cell r="AF593" t="str">
            <v>SHF03.ASX</v>
          </cell>
          <cell r="AG593">
            <v>35.5</v>
          </cell>
        </row>
        <row r="594">
          <cell r="A594" t="str">
            <v>SHF04</v>
          </cell>
          <cell r="B594" t="str">
            <v>SHF04.ASX</v>
          </cell>
          <cell r="C594" t="str">
            <v>SHF04.ASX</v>
          </cell>
          <cell r="D594">
            <v>6</v>
          </cell>
          <cell r="E594">
            <v>197180.7</v>
          </cell>
          <cell r="F594">
            <v>407.15</v>
          </cell>
          <cell r="G594">
            <v>48118.471100000002</v>
          </cell>
          <cell r="J594" t="str">
            <v>SHF04.ASX</v>
          </cell>
          <cell r="K594" t="str">
            <v>SHF04</v>
          </cell>
          <cell r="L594">
            <v>1</v>
          </cell>
          <cell r="M594">
            <v>50555950</v>
          </cell>
          <cell r="N594">
            <v>335173.4901</v>
          </cell>
          <cell r="O594">
            <v>41767</v>
          </cell>
          <cell r="P594" t="str">
            <v>Etl0118Au</v>
          </cell>
          <cell r="Q594" t="str">
            <v>Sgh Emerging Companies Fund</v>
          </cell>
          <cell r="R594" t="str">
            <v>SG Hiscock (Equity Trustees Limited)</v>
          </cell>
          <cell r="S594">
            <v>0</v>
          </cell>
          <cell r="X594" t="str">
            <v>SHF04.ASX</v>
          </cell>
          <cell r="Y594">
            <v>414.44</v>
          </cell>
          <cell r="Z594" t="str">
            <v>SHF04.ASX</v>
          </cell>
          <cell r="AA594">
            <v>323.37</v>
          </cell>
          <cell r="AB594" t="str">
            <v>SHF04.ASX</v>
          </cell>
          <cell r="AC594">
            <v>208.58</v>
          </cell>
          <cell r="AD594" t="str">
            <v>SHF04.ASX</v>
          </cell>
          <cell r="AF594" t="str">
            <v>SHF04.ASX</v>
          </cell>
          <cell r="AG594">
            <v>407.15</v>
          </cell>
        </row>
        <row r="595">
          <cell r="A595" t="str">
            <v>SHF05</v>
          </cell>
          <cell r="B595" t="str">
            <v>SHF05.ASX</v>
          </cell>
          <cell r="C595" t="str">
            <v>SHF05.ASX</v>
          </cell>
          <cell r="D595">
            <v>1</v>
          </cell>
          <cell r="E595">
            <v>153312.34</v>
          </cell>
          <cell r="F595">
            <v>137.47999999999999</v>
          </cell>
          <cell r="G595">
            <v>113733.19130000001</v>
          </cell>
          <cell r="J595" t="str">
            <v>SHF05.ASX</v>
          </cell>
          <cell r="K595" t="str">
            <v>SHF05</v>
          </cell>
          <cell r="L595">
            <v>1</v>
          </cell>
          <cell r="M595">
            <v>52872570</v>
          </cell>
          <cell r="N595">
            <v>129640.7454</v>
          </cell>
          <cell r="O595">
            <v>41767</v>
          </cell>
          <cell r="P595" t="str">
            <v>Etl0005Au</v>
          </cell>
          <cell r="Q595" t="str">
            <v>Sgh Lasalle Global Listed Property Securities Fund</v>
          </cell>
          <cell r="R595" t="str">
            <v>SG Hiscock (Equity Trustees Limited)</v>
          </cell>
          <cell r="S595">
            <v>0</v>
          </cell>
          <cell r="T595">
            <v>2</v>
          </cell>
          <cell r="X595" t="str">
            <v>SHF05.ASX</v>
          </cell>
          <cell r="Y595">
            <v>133.91999999999999</v>
          </cell>
          <cell r="Z595" t="str">
            <v>SHF05.ASX</v>
          </cell>
          <cell r="AA595">
            <v>131.41</v>
          </cell>
          <cell r="AB595" t="str">
            <v>SHF05.ASX</v>
          </cell>
          <cell r="AC595">
            <v>126.29</v>
          </cell>
          <cell r="AD595" t="str">
            <v>SHF05.ASX</v>
          </cell>
          <cell r="AF595" t="str">
            <v>SHF05.ASX</v>
          </cell>
          <cell r="AG595">
            <v>137.47999999999999</v>
          </cell>
        </row>
        <row r="596">
          <cell r="A596" t="str">
            <v>SHF06</v>
          </cell>
          <cell r="B596" t="str">
            <v>SHF06.ASX</v>
          </cell>
          <cell r="C596" t="str">
            <v>SHF06.ASX</v>
          </cell>
          <cell r="D596" t="str">
            <v>0</v>
          </cell>
          <cell r="E596" t="str">
            <v>0</v>
          </cell>
          <cell r="F596">
            <v>114.09</v>
          </cell>
          <cell r="G596" t="str">
            <v>0</v>
          </cell>
          <cell r="J596" t="str">
            <v>SHF06.ASX</v>
          </cell>
          <cell r="K596" t="str">
            <v>SHF06</v>
          </cell>
          <cell r="L596">
            <v>1</v>
          </cell>
          <cell r="M596">
            <v>1883230</v>
          </cell>
          <cell r="N596">
            <v>15455.950500000001</v>
          </cell>
          <cell r="O596">
            <v>41767</v>
          </cell>
          <cell r="P596" t="str">
            <v>Etl0394Au</v>
          </cell>
          <cell r="Q596" t="str">
            <v>Sgh Lasalle Global Property Rich Fund</v>
          </cell>
          <cell r="R596" t="str">
            <v>SG Hiscock (Equity Trustees Limited)</v>
          </cell>
          <cell r="S596">
            <v>0</v>
          </cell>
          <cell r="T596">
            <v>3.3407456866</v>
          </cell>
          <cell r="X596" t="str">
            <v>SHF06.ASX</v>
          </cell>
          <cell r="Y596">
            <v>109.57</v>
          </cell>
          <cell r="Z596" t="str">
            <v>SHF06.ASX</v>
          </cell>
          <cell r="AA596">
            <v>113.28</v>
          </cell>
          <cell r="AB596" t="str">
            <v>SHF06.ASX</v>
          </cell>
          <cell r="AC596">
            <v>116.46</v>
          </cell>
          <cell r="AD596" t="str">
            <v>SHF06.ASX</v>
          </cell>
          <cell r="AF596" t="str">
            <v>SHF06.ASX</v>
          </cell>
          <cell r="AG596">
            <v>114.09</v>
          </cell>
        </row>
        <row r="597">
          <cell r="A597" t="str">
            <v>SHF07</v>
          </cell>
          <cell r="B597" t="str">
            <v>SHF07.ASX</v>
          </cell>
          <cell r="C597" t="str">
            <v>SHF07.ASX</v>
          </cell>
          <cell r="D597">
            <v>4</v>
          </cell>
          <cell r="E597">
            <v>69300</v>
          </cell>
          <cell r="F597">
            <v>165.51</v>
          </cell>
          <cell r="G597">
            <v>41367.297600000005</v>
          </cell>
          <cell r="J597" t="str">
            <v>SHF07.ASX</v>
          </cell>
          <cell r="K597" t="str">
            <v>SHF07</v>
          </cell>
          <cell r="L597">
            <v>1</v>
          </cell>
          <cell r="M597">
            <v>8607400</v>
          </cell>
          <cell r="N597">
            <v>539090.82050000003</v>
          </cell>
          <cell r="O597">
            <v>42779</v>
          </cell>
          <cell r="P597" t="str">
            <v>Etl0383Au</v>
          </cell>
          <cell r="Q597" t="str">
            <v>Sgh Australia Plus Fund</v>
          </cell>
          <cell r="R597" t="str">
            <v>SG Hiscock (Equity Trustees Limited)</v>
          </cell>
          <cell r="T597">
            <v>4.0525598</v>
          </cell>
          <cell r="X597" t="str">
            <v>SHF07.ASX</v>
          </cell>
          <cell r="Y597">
            <v>161.55000000000001</v>
          </cell>
          <cell r="Z597" t="str">
            <v>SHF07.ASX</v>
          </cell>
          <cell r="AA597">
            <v>144.61000000000001</v>
          </cell>
          <cell r="AB597" t="str">
            <v>SHF07.ASX</v>
          </cell>
          <cell r="AC597">
            <v>114.39</v>
          </cell>
          <cell r="AD597" t="str">
            <v>SHF07.ASX</v>
          </cell>
          <cell r="AF597" t="str">
            <v>SHF07.ASX</v>
          </cell>
          <cell r="AG597">
            <v>165.51</v>
          </cell>
        </row>
        <row r="598">
          <cell r="A598" t="str">
            <v>SMF01</v>
          </cell>
          <cell r="B598" t="str">
            <v>SMF01.ASX</v>
          </cell>
          <cell r="C598" t="str">
            <v>SMF01.ASX</v>
          </cell>
          <cell r="D598">
            <v>6</v>
          </cell>
          <cell r="E598">
            <v>145731.27000000002</v>
          </cell>
          <cell r="F598">
            <v>105.11</v>
          </cell>
          <cell r="G598">
            <v>138641.4074</v>
          </cell>
          <cell r="J598" t="str">
            <v>SMF01.ASX</v>
          </cell>
          <cell r="K598" t="str">
            <v>SMF01</v>
          </cell>
          <cell r="L598">
            <v>1</v>
          </cell>
          <cell r="M598">
            <v>781786250</v>
          </cell>
          <cell r="N598">
            <v>5459147.1759000001</v>
          </cell>
          <cell r="O598">
            <v>41886</v>
          </cell>
          <cell r="P598" t="str">
            <v>Cre0014Au</v>
          </cell>
          <cell r="Q598" t="str">
            <v>Smarter Money Active Cash Fund</v>
          </cell>
          <cell r="R598" t="str">
            <v>Smarter Money Invest (Eqt Re Serv Ltd)</v>
          </cell>
          <cell r="T598">
            <v>2.15</v>
          </cell>
          <cell r="X598" t="str">
            <v>SMF01.ASX</v>
          </cell>
          <cell r="Y598">
            <v>104.99</v>
          </cell>
          <cell r="Z598" t="str">
            <v>SMF01.ASX</v>
          </cell>
          <cell r="AA598">
            <v>105.84</v>
          </cell>
          <cell r="AB598" t="str">
            <v>SMF01.ASX</v>
          </cell>
          <cell r="AC598">
            <v>105.05</v>
          </cell>
          <cell r="AD598" t="str">
            <v>SMF01.ASX</v>
          </cell>
          <cell r="AF598" t="str">
            <v>SMF01.ASX</v>
          </cell>
          <cell r="AG598">
            <v>105.11</v>
          </cell>
        </row>
        <row r="599">
          <cell r="A599" t="str">
            <v>SMF02</v>
          </cell>
          <cell r="B599" t="str">
            <v>SMF02.ASX</v>
          </cell>
          <cell r="C599" t="str">
            <v>SMF02.ASX</v>
          </cell>
          <cell r="D599">
            <v>6</v>
          </cell>
          <cell r="E599">
            <v>170955.26</v>
          </cell>
          <cell r="F599">
            <v>99.97</v>
          </cell>
          <cell r="G599">
            <v>171085.99950000001</v>
          </cell>
          <cell r="J599" t="str">
            <v>SMF02.ASX</v>
          </cell>
          <cell r="K599" t="str">
            <v>SMF02</v>
          </cell>
          <cell r="L599">
            <v>1</v>
          </cell>
          <cell r="M599">
            <v>256380999.99999997</v>
          </cell>
          <cell r="N599">
            <v>7093272.3449999997</v>
          </cell>
          <cell r="O599">
            <v>41939</v>
          </cell>
          <cell r="P599" t="str">
            <v>Slt0052Au</v>
          </cell>
          <cell r="Q599" t="str">
            <v>Smarter Money Higher Income - Assisted Inv Class</v>
          </cell>
          <cell r="R599" t="str">
            <v>Smarter Money Invest (Eqt Re Serv Ltd)</v>
          </cell>
          <cell r="T599">
            <v>2.35</v>
          </cell>
          <cell r="X599" t="str">
            <v>SMF02.ASX</v>
          </cell>
          <cell r="Y599">
            <v>99.74</v>
          </cell>
          <cell r="Z599" t="str">
            <v>SMF02.ASX</v>
          </cell>
          <cell r="AA599">
            <v>100.85</v>
          </cell>
          <cell r="AB599" t="str">
            <v>SMF02.ASX</v>
          </cell>
          <cell r="AC599">
            <v>100.3</v>
          </cell>
          <cell r="AD599" t="str">
            <v>SMF02.ASX</v>
          </cell>
          <cell r="AF599" t="str">
            <v>SMF02.ASX</v>
          </cell>
          <cell r="AG599">
            <v>99.97</v>
          </cell>
        </row>
        <row r="600">
          <cell r="A600" t="str">
            <v>SPC01</v>
          </cell>
          <cell r="B600" t="str">
            <v>SPC01.ASX</v>
          </cell>
          <cell r="C600" t="str">
            <v>SPC01.ASX</v>
          </cell>
          <cell r="D600">
            <v>2</v>
          </cell>
          <cell r="E600">
            <v>23500</v>
          </cell>
          <cell r="F600">
            <v>107.85</v>
          </cell>
          <cell r="G600">
            <v>21351.489999999998</v>
          </cell>
          <cell r="J600" t="str">
            <v>SPC01.ASX</v>
          </cell>
          <cell r="K600" t="str">
            <v>SPC01</v>
          </cell>
          <cell r="L600">
            <v>1</v>
          </cell>
          <cell r="M600">
            <v>94778000</v>
          </cell>
          <cell r="N600">
            <v>925153.35</v>
          </cell>
          <cell r="O600">
            <v>42179</v>
          </cell>
          <cell r="P600" t="str">
            <v>Etl0410Au</v>
          </cell>
          <cell r="Q600" t="str">
            <v>Spire Copper Rock Capital Global Smaller Companies</v>
          </cell>
          <cell r="R600" t="str">
            <v>Equity Trustees Ltd (Copper Rock Capital Part Ltd)</v>
          </cell>
          <cell r="X600" t="str">
            <v>SPC01.ASX</v>
          </cell>
          <cell r="Y600">
            <v>108.58</v>
          </cell>
          <cell r="Z600" t="str">
            <v>SPC01.ASX</v>
          </cell>
          <cell r="AA600">
            <v>97.91</v>
          </cell>
          <cell r="AB600" t="str">
            <v>SPC01.ASX</v>
          </cell>
          <cell r="AC600">
            <v>126.45</v>
          </cell>
          <cell r="AD600" t="str">
            <v>SPC01.ASX</v>
          </cell>
          <cell r="AF600" t="str">
            <v>SPC01.ASX</v>
          </cell>
          <cell r="AG600">
            <v>107.85</v>
          </cell>
        </row>
        <row r="601">
          <cell r="A601" t="str">
            <v>SPM01</v>
          </cell>
          <cell r="B601" t="str">
            <v>SPM01.ASX</v>
          </cell>
          <cell r="C601" t="str">
            <v>SPM01.ASX</v>
          </cell>
          <cell r="D601">
            <v>2</v>
          </cell>
          <cell r="E601">
            <v>229912.67</v>
          </cell>
          <cell r="F601">
            <v>132.68</v>
          </cell>
          <cell r="G601">
            <v>173500.73239999998</v>
          </cell>
          <cell r="J601" t="str">
            <v>SPM01.ASX</v>
          </cell>
          <cell r="K601" t="str">
            <v>SPM01</v>
          </cell>
          <cell r="L601">
            <v>1</v>
          </cell>
          <cell r="M601">
            <v>102230000</v>
          </cell>
          <cell r="N601">
            <v>1518038.4911</v>
          </cell>
          <cell r="O601">
            <v>42674</v>
          </cell>
          <cell r="P601" t="str">
            <v>Wht0066Au</v>
          </cell>
          <cell r="Q601" t="str">
            <v>Spheria Australian Microcap Fund</v>
          </cell>
          <cell r="R601" t="str">
            <v>Spheria Asset Management (Pinnacle Fund Services Limited)</v>
          </cell>
          <cell r="X601" t="str">
            <v>SPM01.ASX</v>
          </cell>
          <cell r="Y601">
            <v>132.22</v>
          </cell>
          <cell r="Z601" t="str">
            <v>SPM01.ASX</v>
          </cell>
          <cell r="AA601">
            <v>118.42</v>
          </cell>
          <cell r="AB601" t="str">
            <v>SPM01.ASX</v>
          </cell>
          <cell r="AC601">
            <v>179.92</v>
          </cell>
          <cell r="AD601" t="str">
            <v>SPM01.ASX</v>
          </cell>
          <cell r="AF601" t="str">
            <v>SPM01.ASX</v>
          </cell>
          <cell r="AG601">
            <v>132.68</v>
          </cell>
        </row>
        <row r="602">
          <cell r="A602" t="str">
            <v>SPM02</v>
          </cell>
          <cell r="B602" t="str">
            <v>SPM02.ASX</v>
          </cell>
          <cell r="C602" t="str">
            <v>SPM02.ASX</v>
          </cell>
          <cell r="D602">
            <v>3</v>
          </cell>
          <cell r="E602">
            <v>107749.57</v>
          </cell>
          <cell r="F602">
            <v>275.2</v>
          </cell>
          <cell r="G602">
            <v>38877.081999999995</v>
          </cell>
          <cell r="J602" t="str">
            <v>SPM02.ASX</v>
          </cell>
          <cell r="K602" t="str">
            <v>SPM02</v>
          </cell>
          <cell r="L602">
            <v>1</v>
          </cell>
          <cell r="M602">
            <v>121990000</v>
          </cell>
          <cell r="N602">
            <v>396450.4276</v>
          </cell>
          <cell r="O602">
            <v>42674</v>
          </cell>
          <cell r="P602" t="str">
            <v>Wht0008Au</v>
          </cell>
          <cell r="Q602" t="str">
            <v>Spheria Australian Smaller Companies Fund</v>
          </cell>
          <cell r="R602" t="str">
            <v>Spheria Asset Management (Pinnacle Fund Services Limited)</v>
          </cell>
          <cell r="T602">
            <v>2.6677140000000001</v>
          </cell>
          <cell r="X602" t="str">
            <v>SPM02.ASX</v>
          </cell>
          <cell r="Y602">
            <v>273.58999999999997</v>
          </cell>
          <cell r="Z602" t="str">
            <v>SPM02.ASX</v>
          </cell>
          <cell r="AA602">
            <v>256.68</v>
          </cell>
          <cell r="AB602" t="str">
            <v>SPM02.ASX</v>
          </cell>
          <cell r="AC602">
            <v>40.200000000000003</v>
          </cell>
          <cell r="AD602" t="str">
            <v>SPM02.ASX</v>
          </cell>
          <cell r="AF602" t="str">
            <v>SPM02.ASX</v>
          </cell>
          <cell r="AG602">
            <v>275.2</v>
          </cell>
        </row>
        <row r="603">
          <cell r="A603" t="str">
            <v>SPM03</v>
          </cell>
          <cell r="B603" t="str">
            <v>SPM03.ASX</v>
          </cell>
          <cell r="C603" t="str">
            <v>SPM03.ASX</v>
          </cell>
          <cell r="D603">
            <v>1</v>
          </cell>
          <cell r="E603">
            <v>25000</v>
          </cell>
          <cell r="F603">
            <v>133.04</v>
          </cell>
          <cell r="G603">
            <v>18601.190500000001</v>
          </cell>
          <cell r="J603" t="str">
            <v>SPM03.ASX</v>
          </cell>
          <cell r="K603" t="str">
            <v>SPM03</v>
          </cell>
          <cell r="L603">
            <v>1</v>
          </cell>
          <cell r="M603">
            <v>20771000</v>
          </cell>
          <cell r="N603">
            <v>82989.050099999993</v>
          </cell>
          <cell r="O603">
            <v>42674</v>
          </cell>
          <cell r="P603" t="str">
            <v>Wht0025Au</v>
          </cell>
          <cell r="Q603" t="str">
            <v>Spheria Opportunities Fund</v>
          </cell>
          <cell r="R603" t="str">
            <v>Spheria Asset Management (Pinnacle Fund Services Limited)</v>
          </cell>
          <cell r="T603">
            <v>1.580022</v>
          </cell>
          <cell r="X603" t="str">
            <v>SPM03.ASX</v>
          </cell>
          <cell r="Y603">
            <v>131.49</v>
          </cell>
          <cell r="Z603" t="str">
            <v>SPM03.ASX</v>
          </cell>
          <cell r="AA603">
            <v>122.26</v>
          </cell>
          <cell r="AB603" t="str">
            <v>SPM03.ASX</v>
          </cell>
          <cell r="AC603">
            <v>185.95</v>
          </cell>
          <cell r="AD603" t="str">
            <v>SPM03.ASX</v>
          </cell>
          <cell r="AF603" t="str">
            <v>SPM03.ASX</v>
          </cell>
          <cell r="AG603">
            <v>133.04</v>
          </cell>
        </row>
        <row r="604">
          <cell r="A604" t="str">
            <v>UAM01</v>
          </cell>
          <cell r="B604" t="str">
            <v>UAM01.ASX</v>
          </cell>
          <cell r="C604" t="str">
            <v>UAM01.ASX</v>
          </cell>
          <cell r="D604">
            <v>21</v>
          </cell>
          <cell r="E604">
            <v>473532.81</v>
          </cell>
          <cell r="F604">
            <v>201.37</v>
          </cell>
          <cell r="G604">
            <v>233489.91</v>
          </cell>
          <cell r="J604" t="str">
            <v>UAM01.ASX</v>
          </cell>
          <cell r="K604" t="str">
            <v>UAM01</v>
          </cell>
          <cell r="L604">
            <v>1</v>
          </cell>
          <cell r="M604">
            <v>101090190</v>
          </cell>
          <cell r="N604">
            <v>4423474.171197</v>
          </cell>
          <cell r="O604">
            <v>42289</v>
          </cell>
          <cell r="P604" t="str">
            <v>UBS0004Au</v>
          </cell>
          <cell r="Q604" t="str">
            <v>UBS Australian Small Companies Fund</v>
          </cell>
          <cell r="R604" t="str">
            <v>UBS Asset Management (Australia) Limited</v>
          </cell>
          <cell r="T604">
            <v>2.5</v>
          </cell>
          <cell r="X604" t="str">
            <v>UAM01.ASX</v>
          </cell>
          <cell r="Y604">
            <v>197.98</v>
          </cell>
          <cell r="Z604" t="str">
            <v>UAM01.ASX</v>
          </cell>
          <cell r="AA604">
            <v>185.63</v>
          </cell>
          <cell r="AB604" t="str">
            <v>UAM01.ASX</v>
          </cell>
          <cell r="AC604">
            <v>119.82</v>
          </cell>
          <cell r="AD604" t="str">
            <v>UAM01.ASX</v>
          </cell>
          <cell r="AF604" t="str">
            <v>UAM01.ASX</v>
          </cell>
          <cell r="AG604">
            <v>201.37</v>
          </cell>
        </row>
        <row r="605">
          <cell r="A605" t="str">
            <v>UAM02</v>
          </cell>
          <cell r="B605" t="str">
            <v>UAM02.ASX</v>
          </cell>
          <cell r="C605" t="str">
            <v>UAM02.ASX</v>
          </cell>
          <cell r="D605">
            <v>3</v>
          </cell>
          <cell r="E605">
            <v>79375</v>
          </cell>
          <cell r="F605">
            <v>172.09</v>
          </cell>
          <cell r="G605">
            <v>46190.032999999996</v>
          </cell>
          <cell r="J605" t="str">
            <v>UAM02.ASX</v>
          </cell>
          <cell r="K605" t="str">
            <v>UAM02</v>
          </cell>
          <cell r="L605">
            <v>1</v>
          </cell>
          <cell r="M605">
            <v>54540170</v>
          </cell>
          <cell r="N605">
            <v>635356.18599999999</v>
          </cell>
          <cell r="O605">
            <v>42289</v>
          </cell>
          <cell r="P605" t="str">
            <v>UBS0057Au</v>
          </cell>
          <cell r="Q605" t="str">
            <v>UBS Microcap Fund</v>
          </cell>
          <cell r="R605" t="str">
            <v>UBS Asset Management (Australia) Limited</v>
          </cell>
          <cell r="T605">
            <v>1.54</v>
          </cell>
          <cell r="X605" t="str">
            <v>UAM02.ASX</v>
          </cell>
          <cell r="Y605">
            <v>165.52</v>
          </cell>
          <cell r="Z605" t="str">
            <v>UAM02.ASX</v>
          </cell>
          <cell r="AA605">
            <v>144.08000000000001</v>
          </cell>
          <cell r="AB605" t="str">
            <v>UAM02.ASX</v>
          </cell>
          <cell r="AC605">
            <v>118.39</v>
          </cell>
          <cell r="AD605" t="str">
            <v>UAM02.ASX</v>
          </cell>
          <cell r="AF605" t="str">
            <v>UAM02.ASX</v>
          </cell>
          <cell r="AG605">
            <v>172.09</v>
          </cell>
        </row>
        <row r="606">
          <cell r="A606" t="str">
            <v>UAM03</v>
          </cell>
          <cell r="B606" t="str">
            <v>UAM03.ASX</v>
          </cell>
          <cell r="C606" t="str">
            <v>UAM03.ASX</v>
          </cell>
          <cell r="D606" t="str">
            <v>0</v>
          </cell>
          <cell r="E606" t="str">
            <v>0</v>
          </cell>
          <cell r="F606">
            <v>105.71</v>
          </cell>
          <cell r="G606" t="str">
            <v>0</v>
          </cell>
          <cell r="J606" t="str">
            <v>UAM03.ASX</v>
          </cell>
          <cell r="K606" t="str">
            <v>UAM03</v>
          </cell>
          <cell r="L606">
            <v>1</v>
          </cell>
          <cell r="M606">
            <v>36249570</v>
          </cell>
          <cell r="N606">
            <v>154343.91500000001</v>
          </cell>
          <cell r="O606">
            <v>42289</v>
          </cell>
          <cell r="P606" t="str">
            <v>UBS0024Au</v>
          </cell>
          <cell r="Q606" t="str">
            <v>UBS-Halo Australian Share Fund</v>
          </cell>
          <cell r="R606" t="str">
            <v>UBS Asset Management (Australia) Limited</v>
          </cell>
          <cell r="T606">
            <v>2.95</v>
          </cell>
          <cell r="X606" t="str">
            <v>UAM03.ASX</v>
          </cell>
          <cell r="Y606">
            <v>101.3</v>
          </cell>
          <cell r="Z606" t="str">
            <v>UAM03.ASX</v>
          </cell>
          <cell r="AA606">
            <v>100</v>
          </cell>
          <cell r="AB606" t="str">
            <v>UAM03.ASX</v>
          </cell>
          <cell r="AC606">
            <v>105.69</v>
          </cell>
          <cell r="AD606" t="str">
            <v>UAM03.ASX</v>
          </cell>
          <cell r="AF606" t="str">
            <v>UAM03.ASX</v>
          </cell>
          <cell r="AG606">
            <v>105.71</v>
          </cell>
        </row>
        <row r="607">
          <cell r="A607" t="str">
            <v>UAM04</v>
          </cell>
          <cell r="B607" t="str">
            <v>UAM04.ASX</v>
          </cell>
          <cell r="C607" t="str">
            <v>UAM04.ASX</v>
          </cell>
          <cell r="D607" t="str">
            <v>0</v>
          </cell>
          <cell r="E607" t="str">
            <v>0</v>
          </cell>
          <cell r="F607">
            <v>109.63</v>
          </cell>
          <cell r="G607" t="str">
            <v>0</v>
          </cell>
          <cell r="J607" t="str">
            <v>UAM04.ASX</v>
          </cell>
          <cell r="K607" t="str">
            <v>UAM04</v>
          </cell>
          <cell r="L607">
            <v>1</v>
          </cell>
          <cell r="M607">
            <v>704616220</v>
          </cell>
          <cell r="N607">
            <v>963184.86727699998</v>
          </cell>
          <cell r="O607">
            <v>42289</v>
          </cell>
          <cell r="P607" t="str">
            <v>Sbc0813Au</v>
          </cell>
          <cell r="Q607" t="str">
            <v>UBS Australian Bond Fund</v>
          </cell>
          <cell r="R607" t="str">
            <v>UBS Asset Management (Australia) Limited</v>
          </cell>
          <cell r="T607">
            <v>2.0999999999999996</v>
          </cell>
          <cell r="X607" t="str">
            <v>UAM04.ASX</v>
          </cell>
          <cell r="Y607">
            <v>109.2</v>
          </cell>
          <cell r="Z607" t="str">
            <v>UAM04.ASX</v>
          </cell>
          <cell r="AA607">
            <v>110.35</v>
          </cell>
          <cell r="AB607" t="str">
            <v>UAM04.ASX</v>
          </cell>
          <cell r="AC607">
            <v>100.94</v>
          </cell>
          <cell r="AD607" t="str">
            <v>UAM04.ASX</v>
          </cell>
          <cell r="AF607" t="str">
            <v>UAM04.ASX</v>
          </cell>
          <cell r="AG607">
            <v>109.63</v>
          </cell>
        </row>
        <row r="608">
          <cell r="A608" t="str">
            <v>UAM05</v>
          </cell>
          <cell r="B608" t="str">
            <v>UAM05.ASX</v>
          </cell>
          <cell r="C608" t="str">
            <v>UAM05.ASX</v>
          </cell>
          <cell r="D608">
            <v>6</v>
          </cell>
          <cell r="E608">
            <v>366.23999999999995</v>
          </cell>
          <cell r="F608">
            <v>92.96</v>
          </cell>
          <cell r="G608">
            <v>394.10300000000001</v>
          </cell>
          <cell r="J608" t="str">
            <v>UAM05.ASX</v>
          </cell>
          <cell r="K608" t="str">
            <v>UAM05</v>
          </cell>
          <cell r="L608">
            <v>1</v>
          </cell>
          <cell r="M608">
            <v>219225610</v>
          </cell>
          <cell r="N608">
            <v>1646651.413165</v>
          </cell>
          <cell r="O608">
            <v>42289</v>
          </cell>
          <cell r="P608" t="str">
            <v>UBS0003Au</v>
          </cell>
          <cell r="Q608" t="str">
            <v>UBS Income Solution Fund</v>
          </cell>
          <cell r="R608" t="str">
            <v>UBS Asset Management (Australia) Limited</v>
          </cell>
          <cell r="T608">
            <v>2.7850000000000006</v>
          </cell>
          <cell r="X608" t="str">
            <v>UAM05.ASX</v>
          </cell>
          <cell r="Y608">
            <v>93.02</v>
          </cell>
          <cell r="Z608" t="str">
            <v>UAM05.ASX</v>
          </cell>
          <cell r="AA608">
            <v>95.15</v>
          </cell>
          <cell r="AB608" t="str">
            <v>UAM05.ASX</v>
          </cell>
          <cell r="AC608">
            <v>100.27</v>
          </cell>
          <cell r="AD608" t="str">
            <v>UAM05.ASX</v>
          </cell>
          <cell r="AF608" t="str">
            <v>UAM05.ASX</v>
          </cell>
          <cell r="AG608">
            <v>92.96</v>
          </cell>
        </row>
        <row r="609">
          <cell r="A609" t="str">
            <v>UAM06</v>
          </cell>
          <cell r="B609" t="str">
            <v>UAM06.ASX</v>
          </cell>
          <cell r="C609" t="str">
            <v>UAM06.ASX</v>
          </cell>
          <cell r="D609">
            <v>1</v>
          </cell>
          <cell r="E609">
            <v>60000</v>
          </cell>
          <cell r="F609">
            <v>89.05</v>
          </cell>
          <cell r="G609">
            <v>67499.156000000003</v>
          </cell>
          <cell r="J609" t="str">
            <v>UAM06.ASX</v>
          </cell>
          <cell r="K609" t="str">
            <v>UAM06</v>
          </cell>
          <cell r="L609">
            <v>1</v>
          </cell>
          <cell r="M609">
            <v>668960030</v>
          </cell>
          <cell r="N609">
            <v>3316073.8437160002</v>
          </cell>
          <cell r="O609">
            <v>42289</v>
          </cell>
          <cell r="P609" t="str">
            <v>Sbc0007Au</v>
          </cell>
          <cell r="Q609" t="str">
            <v>UBS Diversified Fixed Income Fund</v>
          </cell>
          <cell r="R609" t="str">
            <v>UBS Asset Management (Australia) Limited</v>
          </cell>
          <cell r="T609">
            <v>2.25</v>
          </cell>
          <cell r="X609" t="str">
            <v>UAM06.ASX</v>
          </cell>
          <cell r="Y609">
            <v>88.69</v>
          </cell>
          <cell r="Z609" t="str">
            <v>UAM06.ASX</v>
          </cell>
          <cell r="AA609">
            <v>89.39</v>
          </cell>
          <cell r="AB609" t="str">
            <v>UAM06.ASX</v>
          </cell>
          <cell r="AD609" t="str">
            <v>UAM06.ASX</v>
          </cell>
          <cell r="AF609" t="str">
            <v>UAM06.ASX</v>
          </cell>
          <cell r="AG609">
            <v>89.05</v>
          </cell>
        </row>
        <row r="610">
          <cell r="A610" t="str">
            <v>UAM07</v>
          </cell>
          <cell r="B610" t="str">
            <v>UAM07.ASX</v>
          </cell>
          <cell r="C610" t="str">
            <v>UAM07.ASX</v>
          </cell>
          <cell r="D610">
            <v>1</v>
          </cell>
          <cell r="E610">
            <v>50084.02</v>
          </cell>
          <cell r="F610">
            <v>122.63</v>
          </cell>
          <cell r="G610">
            <v>40925</v>
          </cell>
          <cell r="J610" t="str">
            <v>UAM07.ASX</v>
          </cell>
          <cell r="K610" t="str">
            <v>UAM07</v>
          </cell>
          <cell r="L610">
            <v>1</v>
          </cell>
          <cell r="M610">
            <v>278507240</v>
          </cell>
          <cell r="N610">
            <v>685758.53300000005</v>
          </cell>
          <cell r="O610">
            <v>42289</v>
          </cell>
          <cell r="P610" t="str">
            <v>UBS0041Au</v>
          </cell>
          <cell r="Q610" t="str">
            <v>UBS Tactical Beta Fund - Balanced</v>
          </cell>
          <cell r="R610" t="str">
            <v>UBS Asset Management (Australia) Limited</v>
          </cell>
          <cell r="T610">
            <v>0.9</v>
          </cell>
          <cell r="X610" t="str">
            <v>UAM07.ASX</v>
          </cell>
          <cell r="Y610">
            <v>121.83</v>
          </cell>
          <cell r="Z610" t="str">
            <v>UAM07.ASX</v>
          </cell>
          <cell r="AA610">
            <v>119.93</v>
          </cell>
          <cell r="AB610" t="str">
            <v>UAM07.ASX</v>
          </cell>
          <cell r="AC610">
            <v>5789.9834882897749</v>
          </cell>
          <cell r="AD610" t="str">
            <v>UAM07.ASX</v>
          </cell>
          <cell r="AE610">
            <v>5191.219380721901</v>
          </cell>
          <cell r="AF610" t="str">
            <v>UAM07.ASX</v>
          </cell>
          <cell r="AG610">
            <v>122.63</v>
          </cell>
        </row>
        <row r="611">
          <cell r="A611" t="str">
            <v>UAM08</v>
          </cell>
          <cell r="B611" t="str">
            <v>UAM08.ASX</v>
          </cell>
          <cell r="C611" t="str">
            <v>UAM08.ASX</v>
          </cell>
          <cell r="D611" t="str">
            <v>0</v>
          </cell>
          <cell r="E611" t="str">
            <v>0</v>
          </cell>
          <cell r="F611">
            <v>138.94999999999999</v>
          </cell>
          <cell r="G611" t="str">
            <v>0</v>
          </cell>
          <cell r="J611" t="str">
            <v>UAM08.ASX</v>
          </cell>
          <cell r="K611" t="str">
            <v>UAM08</v>
          </cell>
          <cell r="L611">
            <v>1</v>
          </cell>
          <cell r="M611">
            <v>229717420</v>
          </cell>
          <cell r="N611">
            <v>169551.87</v>
          </cell>
          <cell r="O611">
            <v>42289</v>
          </cell>
          <cell r="P611" t="str">
            <v>UBS0037Au</v>
          </cell>
          <cell r="Q611" t="str">
            <v>UBS Tactical Beta Fund - Growth</v>
          </cell>
          <cell r="R611" t="str">
            <v>UBS Asset Management (Australia) Limited</v>
          </cell>
          <cell r="T611">
            <v>1.1499999999999999</v>
          </cell>
          <cell r="X611" t="str">
            <v>UAM08.ASX</v>
          </cell>
          <cell r="Y611">
            <v>137.88</v>
          </cell>
          <cell r="Z611" t="str">
            <v>UAM08.ASX</v>
          </cell>
          <cell r="AA611">
            <v>133.44</v>
          </cell>
          <cell r="AB611" t="str">
            <v>UAM08.ASX</v>
          </cell>
          <cell r="AC611">
            <v>1272.2627634072305</v>
          </cell>
          <cell r="AD611" t="str">
            <v>UAM08.ASX</v>
          </cell>
          <cell r="AE611">
            <v>1096.9583095855</v>
          </cell>
          <cell r="AF611" t="str">
            <v>UAM08.ASX</v>
          </cell>
          <cell r="AG611">
            <v>138.94999999999999</v>
          </cell>
        </row>
        <row r="612">
          <cell r="A612" t="str">
            <v>UAM09</v>
          </cell>
          <cell r="B612" t="str">
            <v>UAM09.ASX</v>
          </cell>
          <cell r="C612" t="str">
            <v>UAM09.ASX</v>
          </cell>
          <cell r="D612" t="str">
            <v>0</v>
          </cell>
          <cell r="E612" t="str">
            <v>0</v>
          </cell>
          <cell r="F612">
            <v>110.73</v>
          </cell>
          <cell r="G612" t="str">
            <v>0</v>
          </cell>
          <cell r="J612" t="str">
            <v>UAM09.ASX</v>
          </cell>
          <cell r="K612" t="str">
            <v>UAM09</v>
          </cell>
          <cell r="L612">
            <v>1</v>
          </cell>
          <cell r="M612">
            <v>147050370</v>
          </cell>
          <cell r="N612">
            <v>0</v>
          </cell>
          <cell r="O612">
            <v>42289</v>
          </cell>
          <cell r="P612" t="str">
            <v>UBS0036Au</v>
          </cell>
          <cell r="Q612" t="str">
            <v>UBS Tactical Beta Fund - Conservative</v>
          </cell>
          <cell r="R612" t="str">
            <v>UBS Asset Management (Australia) Limited</v>
          </cell>
          <cell r="T612">
            <v>0.8</v>
          </cell>
          <cell r="X612" t="str">
            <v>UAM09.ASX</v>
          </cell>
          <cell r="Y612">
            <v>110.26</v>
          </cell>
          <cell r="Z612" t="str">
            <v>UAM09.ASX</v>
          </cell>
          <cell r="AA612">
            <v>110.36</v>
          </cell>
          <cell r="AB612" t="str">
            <v>UAM09.ASX</v>
          </cell>
          <cell r="AC612">
            <v>175.29507104958213</v>
          </cell>
          <cell r="AD612" t="str">
            <v>UAM09.ASX</v>
          </cell>
          <cell r="AE612">
            <v>137.52144473355992</v>
          </cell>
          <cell r="AF612" t="str">
            <v>UAM09.ASX</v>
          </cell>
          <cell r="AG612">
            <v>110.73</v>
          </cell>
        </row>
        <row r="613">
          <cell r="A613" t="str">
            <v>UAM10</v>
          </cell>
          <cell r="B613" t="str">
            <v>UAM10.ASX</v>
          </cell>
          <cell r="C613" t="str">
            <v>UAM10.ASX</v>
          </cell>
          <cell r="D613">
            <v>2</v>
          </cell>
          <cell r="E613">
            <v>97625.26999999999</v>
          </cell>
          <cell r="F613">
            <v>153.1</v>
          </cell>
          <cell r="G613">
            <v>64322.323999999993</v>
          </cell>
          <cell r="J613" t="str">
            <v>UAM10.ASX</v>
          </cell>
          <cell r="K613" t="str">
            <v>UAM10</v>
          </cell>
          <cell r="L613">
            <v>1</v>
          </cell>
          <cell r="M613">
            <v>358040900</v>
          </cell>
          <cell r="N613">
            <v>360746.2476</v>
          </cell>
          <cell r="O613">
            <v>42289</v>
          </cell>
          <cell r="P613" t="str">
            <v>Hml0016Au</v>
          </cell>
          <cell r="Q613" t="str">
            <v>UBS Clarion Global Property Securities Fund</v>
          </cell>
          <cell r="R613" t="str">
            <v>UBS Asset Management (Australia) Limited</v>
          </cell>
          <cell r="T613">
            <v>0.2</v>
          </cell>
          <cell r="X613" t="str">
            <v>UAM10.ASX</v>
          </cell>
          <cell r="Y613">
            <v>149.47999999999999</v>
          </cell>
          <cell r="Z613" t="str">
            <v>UAM10.ASX</v>
          </cell>
          <cell r="AA613">
            <v>145.26</v>
          </cell>
          <cell r="AB613" t="str">
            <v>UAM10.ASX</v>
          </cell>
          <cell r="AC613">
            <v>133.01866999999999</v>
          </cell>
          <cell r="AD613" t="str">
            <v>UAM10.ASX</v>
          </cell>
          <cell r="AE613">
            <v>118.2436</v>
          </cell>
          <cell r="AF613" t="str">
            <v>UAM10.ASX</v>
          </cell>
          <cell r="AG613">
            <v>153.1</v>
          </cell>
        </row>
        <row r="614">
          <cell r="A614" t="str">
            <v>UAM11</v>
          </cell>
          <cell r="B614" t="str">
            <v>UAM11.ASX</v>
          </cell>
          <cell r="C614" t="str">
            <v>UAM11.ASX</v>
          </cell>
          <cell r="D614">
            <v>3</v>
          </cell>
          <cell r="E614">
            <v>57458</v>
          </cell>
          <cell r="F614">
            <v>114.13</v>
          </cell>
          <cell r="G614">
            <v>50420.03</v>
          </cell>
          <cell r="J614" t="str">
            <v>UAM11.ASX</v>
          </cell>
          <cell r="K614" t="str">
            <v>UAM11</v>
          </cell>
          <cell r="L614">
            <v>1</v>
          </cell>
          <cell r="M614">
            <v>166386470</v>
          </cell>
          <cell r="N614">
            <v>968407.73531799996</v>
          </cell>
          <cell r="O614">
            <v>42289</v>
          </cell>
          <cell r="P614" t="str">
            <v>Sbc0816Au</v>
          </cell>
          <cell r="Q614" t="str">
            <v>UBS Property Securities Fund</v>
          </cell>
          <cell r="R614" t="str">
            <v>UBS Asset Management (Australia) Limited</v>
          </cell>
          <cell r="T614">
            <v>1.75</v>
          </cell>
          <cell r="X614" t="str">
            <v>UAM11.ASX</v>
          </cell>
          <cell r="Y614">
            <v>111.76</v>
          </cell>
          <cell r="Z614" t="str">
            <v>UAM11.ASX</v>
          </cell>
          <cell r="AA614">
            <v>107.52</v>
          </cell>
          <cell r="AB614" t="str">
            <v>UAM11.ASX</v>
          </cell>
          <cell r="AC614">
            <v>132.85037</v>
          </cell>
          <cell r="AD614" t="str">
            <v>UAM11.ASX</v>
          </cell>
          <cell r="AE614">
            <v>118.3767</v>
          </cell>
          <cell r="AF614" t="str">
            <v>UAM11.ASX</v>
          </cell>
          <cell r="AG614">
            <v>114.13</v>
          </cell>
        </row>
        <row r="615">
          <cell r="A615" t="str">
            <v>UAM13</v>
          </cell>
          <cell r="B615" t="str">
            <v>UAM13.ASX</v>
          </cell>
          <cell r="C615" t="str">
            <v>UAM13.ASX</v>
          </cell>
          <cell r="D615">
            <v>1</v>
          </cell>
          <cell r="E615">
            <v>20159.25</v>
          </cell>
          <cell r="F615">
            <v>111.56</v>
          </cell>
          <cell r="G615">
            <v>17980.07</v>
          </cell>
          <cell r="J615" t="str">
            <v>UAM13.ASX</v>
          </cell>
          <cell r="K615" t="str">
            <v>UAM13</v>
          </cell>
          <cell r="L615">
            <v>1</v>
          </cell>
          <cell r="M615">
            <v>0</v>
          </cell>
          <cell r="N615">
            <v>42259.47</v>
          </cell>
          <cell r="O615">
            <v>42795</v>
          </cell>
          <cell r="P615" t="str">
            <v>UBS2393Au</v>
          </cell>
          <cell r="Q615" t="str">
            <v>UBS Global High Conviction Fund</v>
          </cell>
          <cell r="R615" t="str">
            <v>UBS Asset Management (Australia) Limited</v>
          </cell>
          <cell r="T615">
            <v>4</v>
          </cell>
          <cell r="X615" t="str">
            <v>UAM13.ASX</v>
          </cell>
          <cell r="Y615">
            <v>111.89</v>
          </cell>
          <cell r="Z615" t="str">
            <v>UAM13.ASX</v>
          </cell>
          <cell r="AA615">
            <v>104.66</v>
          </cell>
          <cell r="AB615" t="str">
            <v>UAM13.ASX</v>
          </cell>
          <cell r="AC615">
            <v>51120.738937530841</v>
          </cell>
          <cell r="AD615" t="str">
            <v>UAM13.ASX</v>
          </cell>
          <cell r="AE615">
            <v>41983.799751349354</v>
          </cell>
          <cell r="AF615" t="str">
            <v>UAM13.ASX</v>
          </cell>
          <cell r="AG615">
            <v>111.56</v>
          </cell>
        </row>
        <row r="616">
          <cell r="A616" t="str">
            <v>UAM12</v>
          </cell>
          <cell r="B616" t="str">
            <v>UAM12.ASX</v>
          </cell>
          <cell r="C616" t="str">
            <v>UAM12.ASX</v>
          </cell>
          <cell r="D616">
            <v>1</v>
          </cell>
          <cell r="E616">
            <v>29030</v>
          </cell>
          <cell r="F616">
            <v>112.48</v>
          </cell>
          <cell r="G616">
            <v>26139.024000000001</v>
          </cell>
          <cell r="J616" t="str">
            <v>UAM12.ASX</v>
          </cell>
          <cell r="K616" t="str">
            <v>UAM12</v>
          </cell>
          <cell r="L616">
            <v>1</v>
          </cell>
          <cell r="M616">
            <v>0</v>
          </cell>
          <cell r="N616">
            <v>124535.928</v>
          </cell>
          <cell r="O616">
            <v>42586</v>
          </cell>
          <cell r="P616" t="str">
            <v>UBS0064Au</v>
          </cell>
          <cell r="Q616" t="str">
            <v>UBS Clarion Global Infrastructure Securities Fund</v>
          </cell>
          <cell r="R616" t="str">
            <v>UBS Asset Management (Australia) Limited</v>
          </cell>
          <cell r="T616">
            <v>0.6</v>
          </cell>
          <cell r="X616" t="str">
            <v>UAM12.ASX</v>
          </cell>
          <cell r="Y616">
            <v>110.47</v>
          </cell>
          <cell r="Z616" t="str">
            <v>UAM12.ASX</v>
          </cell>
          <cell r="AA616">
            <v>109.02</v>
          </cell>
          <cell r="AB616" t="str">
            <v>UAM12.ASX</v>
          </cell>
          <cell r="AC616">
            <v>5669.4718049471976</v>
          </cell>
          <cell r="AD616" t="str">
            <v>UAM12.ASX</v>
          </cell>
          <cell r="AE616">
            <v>5275.027331857792</v>
          </cell>
          <cell r="AF616" t="str">
            <v>UAM12.ASX</v>
          </cell>
          <cell r="AG616">
            <v>112.48</v>
          </cell>
        </row>
        <row r="617">
          <cell r="A617" t="str">
            <v>XJO</v>
          </cell>
          <cell r="B617" t="str">
            <v>XJO.ASX</v>
          </cell>
          <cell r="C617" t="str">
            <v>XJO.ASX</v>
          </cell>
          <cell r="D617">
            <v>27945432</v>
          </cell>
          <cell r="E617">
            <v>125440053093.20668</v>
          </cell>
          <cell r="F617">
            <v>6194.632554396524</v>
          </cell>
          <cell r="G617">
            <v>15828359646</v>
          </cell>
          <cell r="J617" t="str">
            <v>XJO.ASX</v>
          </cell>
          <cell r="K617" t="str">
            <v>XJO</v>
          </cell>
          <cell r="L617">
            <v>1</v>
          </cell>
          <cell r="M617">
            <v>1664074792787.7161</v>
          </cell>
          <cell r="N617">
            <v>0</v>
          </cell>
          <cell r="O617">
            <v>33753</v>
          </cell>
          <cell r="P617" t="str">
            <v>S&amp;P/ASX20</v>
          </cell>
          <cell r="Q617" t="str">
            <v>S&amp;P/ASX 200</v>
          </cell>
          <cell r="R617" t="str">
            <v>S&amp;P/ASX INDEX</v>
          </cell>
          <cell r="T617">
            <v>0</v>
          </cell>
          <cell r="U617">
            <v>6250.8</v>
          </cell>
          <cell r="V617">
            <v>5639.4</v>
          </cell>
          <cell r="X617" t="str">
            <v>XJO.ASX</v>
          </cell>
          <cell r="Y617">
            <v>5984.7343580840106</v>
          </cell>
          <cell r="Z617" t="str">
            <v>XJO.ASX</v>
          </cell>
          <cell r="AA617">
            <v>5721.4938791166069</v>
          </cell>
          <cell r="AB617" t="str">
            <v>XJO.ASX</v>
          </cell>
          <cell r="AC617">
            <v>5459.0104700930224</v>
          </cell>
          <cell r="AD617" t="str">
            <v>XJO.ASX</v>
          </cell>
          <cell r="AE617">
            <v>4802.5910875387544</v>
          </cell>
          <cell r="AF617" t="str">
            <v>XJO.ASX</v>
          </cell>
          <cell r="AG617">
            <v>6194.632554396524</v>
          </cell>
        </row>
        <row r="618">
          <cell r="A618" t="str">
            <v>XPJ</v>
          </cell>
          <cell r="B618" t="str">
            <v>XPJ.ASX</v>
          </cell>
          <cell r="C618" t="str">
            <v>XPJ.ASX</v>
          </cell>
          <cell r="D618">
            <v>1454434</v>
          </cell>
          <cell r="E618">
            <v>9080027144.0344219</v>
          </cell>
          <cell r="F618">
            <v>1409.3504598129127</v>
          </cell>
          <cell r="G618">
            <v>2111845170</v>
          </cell>
          <cell r="J618" t="str">
            <v>XPJ.ASX</v>
          </cell>
          <cell r="K618" t="str">
            <v>XPJ</v>
          </cell>
          <cell r="L618">
            <v>1</v>
          </cell>
          <cell r="M618">
            <v>111976072224.16222</v>
          </cell>
          <cell r="N618">
            <v>0</v>
          </cell>
          <cell r="O618">
            <v>29220</v>
          </cell>
          <cell r="P618" t="str">
            <v>200 GICS</v>
          </cell>
          <cell r="Q618" t="str">
            <v>S&amp;P/ASX 200 A-REIT</v>
          </cell>
          <cell r="R618" t="str">
            <v>S&amp;P/ASX GICS ECONOMIC SECTOR INDEX (TIER 1)</v>
          </cell>
          <cell r="T618">
            <v>0</v>
          </cell>
          <cell r="U618">
            <v>1482.9</v>
          </cell>
          <cell r="V618">
            <v>1262.4000000000001</v>
          </cell>
          <cell r="X618" t="str">
            <v>XPJ.ASX</v>
          </cell>
          <cell r="Y618">
            <v>1400.9780538331806</v>
          </cell>
          <cell r="Z618" t="str">
            <v>XPJ.ASX</v>
          </cell>
          <cell r="AA618">
            <v>1311.3998307756212</v>
          </cell>
          <cell r="AB618" t="str">
            <v>XPJ.ASX</v>
          </cell>
          <cell r="AC618">
            <v>1235.5078448114946</v>
          </cell>
          <cell r="AD618" t="str">
            <v>XPJ.ASX</v>
          </cell>
          <cell r="AE618">
            <v>1029.7504603741402</v>
          </cell>
          <cell r="AF618" t="str">
            <v>XPJ.ASX</v>
          </cell>
          <cell r="AG618">
            <v>1409.3504598129127</v>
          </cell>
        </row>
        <row r="619">
          <cell r="A619" t="str">
            <v>XIF</v>
          </cell>
          <cell r="B619" t="str">
            <v>XIF.ASX</v>
          </cell>
          <cell r="C619" t="str">
            <v>XIF.ASX</v>
          </cell>
          <cell r="D619">
            <v>0</v>
          </cell>
          <cell r="E619">
            <v>0</v>
          </cell>
          <cell r="F619">
            <v>200.96047325102452</v>
          </cell>
          <cell r="G619">
            <v>0</v>
          </cell>
          <cell r="J619" t="str">
            <v>XIF.ASX</v>
          </cell>
          <cell r="K619" t="str">
            <v>XIF</v>
          </cell>
          <cell r="L619">
            <v>1</v>
          </cell>
          <cell r="M619">
            <v>0</v>
          </cell>
          <cell r="O619">
            <v>37986</v>
          </cell>
          <cell r="P619" t="str">
            <v>S&amp;P/ASX Infrastructure</v>
          </cell>
          <cell r="Q619" t="str">
            <v>S&amp;P/ASX Infrastructure Index</v>
          </cell>
          <cell r="R619" t="str">
            <v>S&amp;P/ASX INDEX</v>
          </cell>
          <cell r="U619">
            <v>203.10420825854553</v>
          </cell>
          <cell r="V619">
            <v>177.63563473941988</v>
          </cell>
          <cell r="X619" t="str">
            <v>XIF.ASX</v>
          </cell>
          <cell r="Y619">
            <v>190.72649961891912</v>
          </cell>
          <cell r="Z619" t="str">
            <v>XIF.ASX</v>
          </cell>
          <cell r="AA619">
            <v>191.57211271672864</v>
          </cell>
          <cell r="AB619" t="str">
            <v>XIF.ASX</v>
          </cell>
          <cell r="AC619">
            <v>161.13661845003085</v>
          </cell>
          <cell r="AD619" t="str">
            <v>XIF.ASX</v>
          </cell>
          <cell r="AE619">
            <v>128.9398207797517</v>
          </cell>
          <cell r="AF619" t="str">
            <v>XIF.ASX</v>
          </cell>
          <cell r="AG619">
            <v>200.96047325102452</v>
          </cell>
        </row>
        <row r="620">
          <cell r="A620" t="str">
            <v>SPBDASXT</v>
          </cell>
          <cell r="B620" t="str">
            <v>SPBDASXT.ASX</v>
          </cell>
          <cell r="C620" t="str">
            <v>SPBDASXT.ASX</v>
          </cell>
          <cell r="D620">
            <v>0</v>
          </cell>
          <cell r="E620">
            <v>0</v>
          </cell>
          <cell r="F620">
            <v>145.96627000000001</v>
          </cell>
          <cell r="G620">
            <v>0</v>
          </cell>
          <cell r="J620" t="str">
            <v>SPBDASXT.ASX</v>
          </cell>
          <cell r="K620" t="str">
            <v>SPBDASXT</v>
          </cell>
          <cell r="L620">
            <v>1</v>
          </cell>
          <cell r="M620">
            <v>0</v>
          </cell>
          <cell r="O620">
            <v>40694</v>
          </cell>
          <cell r="P620" t="str">
            <v>SPBDASXT</v>
          </cell>
          <cell r="Q620" t="str">
            <v>S&amp;P/ASX Aust Fixed Int Idx Total Return</v>
          </cell>
          <cell r="R620" t="str">
            <v>S&amp;P/ASX Fixed Interest Indices</v>
          </cell>
          <cell r="X620" t="str">
            <v>SPBDASXT.ASX</v>
          </cell>
          <cell r="Y620">
            <v>145.36809</v>
          </cell>
          <cell r="Z620" t="str">
            <v>SPBDASXT.ASX</v>
          </cell>
          <cell r="AA620">
            <v>141.56036</v>
          </cell>
          <cell r="AB620" t="str">
            <v>SPBDASXT.ASX</v>
          </cell>
          <cell r="AC620">
            <v>131.70004</v>
          </cell>
          <cell r="AD620" t="str">
            <v>SPBDASXT.ASX</v>
          </cell>
          <cell r="AE620">
            <v>116.7843</v>
          </cell>
          <cell r="AF620" t="str">
            <v>SPBDASXT.ASX</v>
          </cell>
          <cell r="AG620">
            <v>145.96627000000001</v>
          </cell>
        </row>
        <row r="621">
          <cell r="A621" t="str">
            <v>SPBDAGVT</v>
          </cell>
          <cell r="B621" t="str">
            <v>SPBDAGVT.ASX</v>
          </cell>
          <cell r="C621" t="str">
            <v>SPBDAGVT.ASX</v>
          </cell>
          <cell r="D621">
            <v>0</v>
          </cell>
          <cell r="E621">
            <v>0</v>
          </cell>
          <cell r="F621">
            <v>145.29893000000001</v>
          </cell>
          <cell r="G621">
            <v>0</v>
          </cell>
          <cell r="J621" t="str">
            <v>SPBDAGVT.ASX</v>
          </cell>
          <cell r="K621" t="str">
            <v>SPBDAGVT</v>
          </cell>
          <cell r="L621">
            <v>1</v>
          </cell>
          <cell r="M621">
            <v>0</v>
          </cell>
          <cell r="O621">
            <v>38356</v>
          </cell>
          <cell r="P621" t="str">
            <v>SPBDAGVT</v>
          </cell>
          <cell r="Q621" t="str">
            <v>S&amp;P/ASX Govt Bond Idx Total Return</v>
          </cell>
          <cell r="R621" t="str">
            <v>S&amp;P/ASX Fixed Interest Indices</v>
          </cell>
          <cell r="X621" t="str">
            <v>SPBDAGVT.ASX</v>
          </cell>
          <cell r="Y621">
            <v>144.65559999999999</v>
          </cell>
          <cell r="Z621" t="str">
            <v>SPBDAGVT.ASX</v>
          </cell>
          <cell r="AA621">
            <v>141.03313</v>
          </cell>
          <cell r="AB621" t="str">
            <v>SPBDAGVT.ASX</v>
          </cell>
          <cell r="AC621">
            <v>131.37183999999999</v>
          </cell>
          <cell r="AD621" t="str">
            <v>SPBDAGVT.ASX</v>
          </cell>
          <cell r="AE621">
            <v>116.6807</v>
          </cell>
          <cell r="AF621" t="str">
            <v>SPBDAGVT.ASX</v>
          </cell>
          <cell r="AG621">
            <v>145.29893000000001</v>
          </cell>
        </row>
        <row r="622">
          <cell r="A622" t="str">
            <v>XJOAI</v>
          </cell>
          <cell r="B622" t="str">
            <v>XJOAI.ASX</v>
          </cell>
          <cell r="C622" t="str">
            <v>XJOAI.ASX</v>
          </cell>
          <cell r="D622">
            <v>0</v>
          </cell>
          <cell r="E622">
            <v>0</v>
          </cell>
          <cell r="F622">
            <v>63015.407839308253</v>
          </cell>
          <cell r="G622">
            <v>0</v>
          </cell>
          <cell r="J622" t="str">
            <v>XJOAI.ASX</v>
          </cell>
          <cell r="K622" t="str">
            <v>XJOAI</v>
          </cell>
          <cell r="L622">
            <v>1</v>
          </cell>
          <cell r="M622">
            <v>0</v>
          </cell>
          <cell r="N622">
            <v>0</v>
          </cell>
          <cell r="O622">
            <v>33753</v>
          </cell>
          <cell r="P622" t="str">
            <v>S&amp;P/ASX20</v>
          </cell>
          <cell r="Q622" t="str">
            <v>S&amp;P/ASX 200 Accumulation</v>
          </cell>
          <cell r="R622" t="str">
            <v>S&amp;P/ASX 200</v>
          </cell>
          <cell r="T622">
            <v>0</v>
          </cell>
          <cell r="U622">
            <v>63270.451990326314</v>
          </cell>
          <cell r="V622">
            <v>55296.57681594212</v>
          </cell>
          <cell r="X622" t="str">
            <v>XJOAI.ASX</v>
          </cell>
          <cell r="Y622">
            <v>60740.007242520871</v>
          </cell>
          <cell r="Z622" t="str">
            <v>XJOAI.ASX</v>
          </cell>
          <cell r="AA622">
            <v>55758.564272269556</v>
          </cell>
          <cell r="AB622" t="str">
            <v>XJOAI.ASX</v>
          </cell>
          <cell r="AC622">
            <v>48602.263285282614</v>
          </cell>
          <cell r="AD622" t="str">
            <v>XJOAI.ASX</v>
          </cell>
          <cell r="AE622">
            <v>39163.267158520786</v>
          </cell>
          <cell r="AF622" t="str">
            <v>XJOAI.ASX</v>
          </cell>
          <cell r="AG622">
            <v>63015.407839308253</v>
          </cell>
        </row>
        <row r="623">
          <cell r="A623" t="str">
            <v>XSOAI</v>
          </cell>
          <cell r="B623" t="str">
            <v>XSOAI.ASX</v>
          </cell>
          <cell r="C623" t="str">
            <v>XSOAI.ASX</v>
          </cell>
          <cell r="D623">
            <v>0</v>
          </cell>
          <cell r="E623">
            <v>0</v>
          </cell>
          <cell r="F623">
            <v>8140.5090054170332</v>
          </cell>
          <cell r="G623">
            <v>0</v>
          </cell>
          <cell r="J623" t="str">
            <v>XSOAI.ASX</v>
          </cell>
          <cell r="K623" t="str">
            <v>XSOAI</v>
          </cell>
          <cell r="L623">
            <v>1</v>
          </cell>
          <cell r="M623">
            <v>0</v>
          </cell>
          <cell r="N623">
            <v>0</v>
          </cell>
          <cell r="O623">
            <v>34750</v>
          </cell>
          <cell r="P623" t="str">
            <v>SMALL ORD</v>
          </cell>
          <cell r="Q623" t="str">
            <v>S&amp;P/ASX Small Ords Accumulation</v>
          </cell>
          <cell r="R623" t="str">
            <v>S&amp;P/ASX Small Ords</v>
          </cell>
          <cell r="T623">
            <v>0</v>
          </cell>
          <cell r="U623">
            <v>8285.7830213919187</v>
          </cell>
          <cell r="V623">
            <v>6488.3292450688105</v>
          </cell>
          <cell r="X623" t="str">
            <v>XSOAI.ASX</v>
          </cell>
          <cell r="Y623">
            <v>7973.8847641835473</v>
          </cell>
          <cell r="Z623" t="str">
            <v>XSOAI.ASX</v>
          </cell>
          <cell r="AA623">
            <v>6551.9170961548234</v>
          </cell>
          <cell r="AB623" t="str">
            <v>XSOAI.ASX</v>
          </cell>
          <cell r="AC623">
            <v>5351.767429565386</v>
          </cell>
          <cell r="AD623" t="str">
            <v>XSOAI.ASX</v>
          </cell>
          <cell r="AE623">
            <v>4710.4952482072531</v>
          </cell>
          <cell r="AF623" t="str">
            <v>XSOAI.ASX</v>
          </cell>
          <cell r="AG623">
            <v>8140.5090054170332</v>
          </cell>
        </row>
        <row r="624">
          <cell r="A624" t="str">
            <v>XPJAI</v>
          </cell>
          <cell r="B624" t="str">
            <v>XPJAI.ASX</v>
          </cell>
          <cell r="C624" t="str">
            <v>XPJAI.ASX</v>
          </cell>
          <cell r="D624">
            <v>0</v>
          </cell>
          <cell r="E624">
            <v>0</v>
          </cell>
          <cell r="F624">
            <v>48604.905129330422</v>
          </cell>
          <cell r="G624">
            <v>0</v>
          </cell>
          <cell r="J624" t="str">
            <v>XPJAI.ASX</v>
          </cell>
          <cell r="K624" t="str">
            <v>XPJAI</v>
          </cell>
          <cell r="L624">
            <v>1</v>
          </cell>
          <cell r="M624">
            <v>0</v>
          </cell>
          <cell r="N624">
            <v>0</v>
          </cell>
          <cell r="O624">
            <v>37067</v>
          </cell>
          <cell r="P624" t="str">
            <v>XPJAI</v>
          </cell>
          <cell r="Q624" t="str">
            <v>S&amp;P/ASX 200 A-REIT Accumulation</v>
          </cell>
          <cell r="R624" t="str">
            <v>S&amp;P/ASX200 A-REIT (Sector)</v>
          </cell>
          <cell r="T624">
            <v>0</v>
          </cell>
          <cell r="U624">
            <v>49078.929650724524</v>
          </cell>
          <cell r="V624">
            <v>41464.681473618388</v>
          </cell>
          <cell r="X624" t="str">
            <v>XPJAI.ASX</v>
          </cell>
          <cell r="Y624">
            <v>47496.422899137309</v>
          </cell>
          <cell r="Z624" t="str">
            <v>XPJAI.ASX</v>
          </cell>
          <cell r="AA624">
            <v>42998.561982218591</v>
          </cell>
          <cell r="AB624" t="str">
            <v>XPJAI.ASX</v>
          </cell>
          <cell r="AC624">
            <v>36822.673836123387</v>
          </cell>
          <cell r="AD624" t="str">
            <v>XPJAI.ASX</v>
          </cell>
          <cell r="AE624">
            <v>27568.116738974535</v>
          </cell>
          <cell r="AF624" t="str">
            <v>XPJAI.ASX</v>
          </cell>
          <cell r="AG624">
            <v>48604.905129330422</v>
          </cell>
        </row>
        <row r="625">
          <cell r="A625" t="str">
            <v>XIFAI</v>
          </cell>
          <cell r="B625" t="str">
            <v>XIFAI.ASX</v>
          </cell>
          <cell r="C625" t="str">
            <v>XIFAI.ASX</v>
          </cell>
          <cell r="D625">
            <v>0</v>
          </cell>
          <cell r="E625">
            <v>0</v>
          </cell>
          <cell r="F625">
            <v>443.84317103253943</v>
          </cell>
          <cell r="G625">
            <v>0</v>
          </cell>
          <cell r="J625" t="str">
            <v>XIFAI.ASX</v>
          </cell>
          <cell r="K625" t="str">
            <v>XIFAI</v>
          </cell>
          <cell r="L625">
            <v>1</v>
          </cell>
          <cell r="M625">
            <v>0</v>
          </cell>
          <cell r="O625">
            <v>37986</v>
          </cell>
          <cell r="P625" t="str">
            <v>S&amp;P/ASX Infrastructure</v>
          </cell>
          <cell r="Q625" t="str">
            <v>S&amp;P/ASX Infrastructure Index Accumulation</v>
          </cell>
          <cell r="R625" t="str">
            <v>S&amp;P/ASX Infrastructure Index</v>
          </cell>
          <cell r="U625">
            <v>447.91295489044336</v>
          </cell>
          <cell r="V625">
            <v>387.8603104318388</v>
          </cell>
          <cell r="X625" t="str">
            <v>XIFAI.ASX</v>
          </cell>
          <cell r="Y625">
            <v>418.18999248612312</v>
          </cell>
          <cell r="Z625" t="str">
            <v>XIFAI.ASX</v>
          </cell>
          <cell r="AA625">
            <v>408.22447739184554</v>
          </cell>
          <cell r="AB625" t="str">
            <v>XIFAI.ASX</v>
          </cell>
          <cell r="AC625">
            <v>318.73698294651825</v>
          </cell>
          <cell r="AD625" t="str">
            <v>XIFAI.ASX</v>
          </cell>
          <cell r="AE625">
            <v>233.18201204798743</v>
          </cell>
          <cell r="AF625" t="str">
            <v>XIFAI.ASX</v>
          </cell>
          <cell r="AG625">
            <v>443.84317103253943</v>
          </cell>
        </row>
        <row r="626">
          <cell r="X626" t="str">
            <v>24/02/2017</v>
          </cell>
          <cell r="Y626" t="str">
            <v>An error occurred: The security 24/02/2017 is invalid.</v>
          </cell>
          <cell r="Z626" t="str">
            <v>24/02/2017</v>
          </cell>
          <cell r="AA626" t="str">
            <v>An error occurred: The security 24/02/2017 is invalid.</v>
          </cell>
          <cell r="AB626" t="str">
            <v>24/02/2017</v>
          </cell>
          <cell r="AC626" t="str">
            <v>An error occurred: The security 24/02/2017 is invalid.</v>
          </cell>
          <cell r="AD626" t="str">
            <v>24/02/2017</v>
          </cell>
          <cell r="AE626" t="str">
            <v>An error occurred: The security 24/02/2017 is invalid.</v>
          </cell>
          <cell r="AF626" t="str">
            <v>24/02/2017</v>
          </cell>
          <cell r="AG626" t="str">
            <v>An error occurred: The security 24/02/2017 is invalid.</v>
          </cell>
        </row>
        <row r="627">
          <cell r="X627" t="str">
            <v>13/02/2017</v>
          </cell>
          <cell r="Y627" t="str">
            <v>An error occurred: The security 13/02/2017 is invalid.</v>
          </cell>
          <cell r="Z627" t="str">
            <v>13/02/2017</v>
          </cell>
          <cell r="AA627" t="str">
            <v>An error occurred: The security 13/02/2017 is invalid.</v>
          </cell>
          <cell r="AB627" t="str">
            <v>13/02/2017</v>
          </cell>
          <cell r="AC627" t="str">
            <v>An error occurred: The security 13/02/2017 is invalid.</v>
          </cell>
          <cell r="AD627" t="str">
            <v>13/02/2017</v>
          </cell>
          <cell r="AE627" t="str">
            <v>An error occurred: The security 13/02/2017 is invalid.</v>
          </cell>
          <cell r="AF627" t="str">
            <v>13/02/2017</v>
          </cell>
          <cell r="AG627" t="str">
            <v>An error occurred: The security 13/02/2017 is invalid.</v>
          </cell>
        </row>
        <row r="628">
          <cell r="X628" t="str">
            <v>24/01/2017</v>
          </cell>
          <cell r="Y628" t="str">
            <v>An error occurred: The security 24/01/2017 is invalid.</v>
          </cell>
          <cell r="Z628" t="str">
            <v>24/01/2017</v>
          </cell>
          <cell r="AA628" t="str">
            <v>An error occurred: The security 24/01/2017 is invalid.</v>
          </cell>
          <cell r="AB628" t="str">
            <v>24/01/2017</v>
          </cell>
          <cell r="AC628" t="str">
            <v>An error occurred: The security 24/01/2017 is invalid.</v>
          </cell>
          <cell r="AD628" t="str">
            <v>24/01/2017</v>
          </cell>
          <cell r="AE628" t="str">
            <v>An error occurred: The security 24/01/2017 is invalid.</v>
          </cell>
          <cell r="AF628" t="str">
            <v>24/01/2017</v>
          </cell>
          <cell r="AG628" t="str">
            <v>An error occurred: The security 24/01/2017 is invalid.</v>
          </cell>
        </row>
        <row r="629">
          <cell r="X629" t="str">
            <v>24/01/2017</v>
          </cell>
          <cell r="Y629" t="str">
            <v>An error occurred: The security 24/01/2017 is invalid.</v>
          </cell>
          <cell r="Z629" t="str">
            <v>24/01/2017</v>
          </cell>
          <cell r="AA629" t="str">
            <v>An error occurred: The security 24/01/2017 is invalid.</v>
          </cell>
          <cell r="AB629" t="str">
            <v>24/01/2017</v>
          </cell>
          <cell r="AC629" t="str">
            <v>An error occurred: The security 24/01/2017 is invalid.</v>
          </cell>
          <cell r="AD629" t="str">
            <v>24/01/2017</v>
          </cell>
          <cell r="AE629" t="str">
            <v>An error occurred: The security 24/01/2017 is invalid.</v>
          </cell>
          <cell r="AF629" t="str">
            <v>24/01/2017</v>
          </cell>
          <cell r="AG629" t="str">
            <v>An error occurred: The security 24/01/2017 is invalid.</v>
          </cell>
        </row>
        <row r="630">
          <cell r="X630">
            <v>42746</v>
          </cell>
          <cell r="Y630" t="str">
            <v>An error occurred: The security 1/11/2017 is invalid.</v>
          </cell>
          <cell r="Z630">
            <v>42746</v>
          </cell>
          <cell r="AA630" t="str">
            <v>An error occurred: The security 1/11/2017 is invalid.</v>
          </cell>
          <cell r="AB630">
            <v>42746</v>
          </cell>
          <cell r="AC630" t="str">
            <v>An error occurred: The security 1/11/2017 is invalid.</v>
          </cell>
          <cell r="AD630">
            <v>42746</v>
          </cell>
          <cell r="AE630" t="str">
            <v>An error occurred: The security 1/11/2017 is invalid.</v>
          </cell>
          <cell r="AF630">
            <v>42746</v>
          </cell>
          <cell r="AG630" t="str">
            <v>An error occurred: The security 1/11/2017 is invalid.</v>
          </cell>
        </row>
        <row r="631">
          <cell r="X631">
            <v>42744</v>
          </cell>
          <cell r="Y631" t="str">
            <v>An error occurred: The security 1/09/2017 is invalid.</v>
          </cell>
          <cell r="Z631">
            <v>42744</v>
          </cell>
          <cell r="AA631" t="str">
            <v>An error occurred: The security 1/09/2017 is invalid.</v>
          </cell>
          <cell r="AB631">
            <v>42744</v>
          </cell>
          <cell r="AC631" t="str">
            <v>An error occurred: The security 1/09/2017 is invalid.</v>
          </cell>
          <cell r="AD631">
            <v>42744</v>
          </cell>
          <cell r="AE631" t="str">
            <v>An error occurred: The security 1/09/2017 is invalid.</v>
          </cell>
          <cell r="AF631">
            <v>42744</v>
          </cell>
          <cell r="AG631" t="str">
            <v>An error occurred: The security 1/09/2017 is invalid.</v>
          </cell>
        </row>
        <row r="632">
          <cell r="X632" t="str">
            <v>21/12/2016</v>
          </cell>
          <cell r="Y632" t="str">
            <v>An error occurred: The security 21/12/2016 is invalid.</v>
          </cell>
          <cell r="Z632" t="str">
            <v>21/12/2016</v>
          </cell>
          <cell r="AA632" t="str">
            <v>An error occurred: The security 21/12/2016 is invalid.</v>
          </cell>
          <cell r="AB632" t="str">
            <v>21/12/2016</v>
          </cell>
          <cell r="AC632" t="str">
            <v>An error occurred: The security 21/12/2016 is invalid.</v>
          </cell>
          <cell r="AD632" t="str">
            <v>21/12/2016</v>
          </cell>
          <cell r="AE632" t="str">
            <v>An error occurred: The security 21/12/2016 is invalid.</v>
          </cell>
          <cell r="AF632" t="str">
            <v>21/12/2016</v>
          </cell>
          <cell r="AG632" t="str">
            <v>An error occurred: The security 21/12/2016 is invalid.</v>
          </cell>
        </row>
        <row r="633">
          <cell r="X633" t="str">
            <v>16/12/2016</v>
          </cell>
          <cell r="Y633" t="str">
            <v>An error occurred: The security 16/12/2016 is invalid.</v>
          </cell>
          <cell r="Z633" t="str">
            <v>16/12/2016</v>
          </cell>
          <cell r="AA633" t="str">
            <v>An error occurred: The security 16/12/2016 is invalid.</v>
          </cell>
          <cell r="AB633" t="str">
            <v>16/12/2016</v>
          </cell>
          <cell r="AC633" t="str">
            <v>An error occurred: The security 16/12/2016 is invalid.</v>
          </cell>
          <cell r="AD633" t="str">
            <v>16/12/2016</v>
          </cell>
          <cell r="AE633" t="str">
            <v>An error occurred: The security 16/12/2016 is invalid.</v>
          </cell>
          <cell r="AF633" t="str">
            <v>16/12/2016</v>
          </cell>
          <cell r="AG633" t="str">
            <v>An error occurred: The security 16/12/2016 is invalid.</v>
          </cell>
        </row>
        <row r="634">
          <cell r="X634" t="str">
            <v>`=IF(LARGE($O$11:$O$557,9)=VLOOKUP(A568,$A$560:$A$569,1,FALSE)</v>
          </cell>
          <cell r="Y634" t="str">
            <v>An error occurred: The security `=IF(LARGE($O$11:$O$557,9)=VLOOKUP(A568,$A$560:$A$569,1,FALSE) is invalid.</v>
          </cell>
          <cell r="Z634" t="str">
            <v>`=IF(LARGE($O$11:$O$557,9)=VLOOKUP(A568,$A$560:$A$569,1,FALSE)</v>
          </cell>
          <cell r="AA634" t="str">
            <v>An error occurred: The security `=IF(LARGE($O$11:$O$557,9)=VLOOKUP(A568,$A$560:$A$569,1,FALSE) is invalid.</v>
          </cell>
          <cell r="AB634" t="str">
            <v>`=IF(LARGE($O$11:$O$557,9)=VLOOKUP(A568,$A$560:$A$569,1,FALSE)</v>
          </cell>
          <cell r="AC634" t="str">
            <v>An error occurred: The security `=IF(LARGE($O$11:$O$557,9)=VLOOKUP(A568,$A$560:$A$569,1,FALSE) is invalid.</v>
          </cell>
          <cell r="AD634" t="str">
            <v>`=IF(LARGE($O$11:$O$557,9)=VLOOKUP(A568,$A$560:$A$569,1,FALSE)</v>
          </cell>
          <cell r="AE634" t="str">
            <v>An error occurred: The security `=IF(LARGE($O$11:$O$557,9)=VLOOKUP(A568,$A$560:$A$569,1,FALSE) is invalid.</v>
          </cell>
          <cell r="AF634" t="str">
            <v>`=IF(LARGE($O$11:$O$557,9)=VLOOKUP(A568,$A$560:$A$569,1,FALSE)</v>
          </cell>
          <cell r="AG634" t="str">
            <v>An error occurred: The security `=IF(LARGE($O$11:$O$557,9)=VLOOKUP(A568,$A$560:$A$569,1,FALSE) is invalid.</v>
          </cell>
        </row>
        <row r="635">
          <cell r="X635">
            <v>42716</v>
          </cell>
          <cell r="Y635" t="str">
            <v>An error occurred: The security 12/12/2016 is invalid.</v>
          </cell>
          <cell r="Z635">
            <v>42716</v>
          </cell>
          <cell r="AA635" t="str">
            <v>An error occurred: The security 12/12/2016 is invalid.</v>
          </cell>
          <cell r="AB635">
            <v>42716</v>
          </cell>
          <cell r="AC635" t="str">
            <v>An error occurred: The security 12/12/2016 is invalid.</v>
          </cell>
          <cell r="AD635">
            <v>42716</v>
          </cell>
          <cell r="AE635" t="str">
            <v>An error occurred: The security 12/12/2016 is invalid.</v>
          </cell>
          <cell r="AF635">
            <v>42716</v>
          </cell>
          <cell r="AG635" t="str">
            <v>An error occurred: The security 12/12/2016 is invalid.</v>
          </cell>
        </row>
      </sheetData>
      <sheetData sheetId="33"/>
      <sheetData sheetId="34">
        <row r="1">
          <cell r="A1" t="str">
            <v>ASX Code</v>
          </cell>
          <cell r="B1" t="str">
            <v>Average of %Spread</v>
          </cell>
          <cell r="C1" t="str">
            <v>Average of Depth Best Bid</v>
          </cell>
          <cell r="D1" t="str">
            <v>Average of Depth Best Ask</v>
          </cell>
          <cell r="E1" t="str">
            <v>Average of Depth Best 5 Bid</v>
          </cell>
          <cell r="F1" t="str">
            <v>Average of Depth Best 5 Ask</v>
          </cell>
          <cell r="G1" t="str">
            <v>Average of $Spread</v>
          </cell>
        </row>
        <row r="2">
          <cell r="A2" t="str">
            <v>A200</v>
          </cell>
          <cell r="B2">
            <v>3.9993734859344101E-4</v>
          </cell>
          <cell r="E2">
            <v>1671947.0903630999</v>
          </cell>
          <cell r="F2">
            <v>1457505.39028383</v>
          </cell>
          <cell r="G2">
            <v>1564726.2403234649</v>
          </cell>
        </row>
        <row r="3">
          <cell r="A3" t="str">
            <v>AAA</v>
          </cell>
          <cell r="B3">
            <v>1.9970280166510299E-4</v>
          </cell>
          <cell r="E3">
            <v>43867286.418491498</v>
          </cell>
          <cell r="F3">
            <v>79041770.037762493</v>
          </cell>
          <cell r="G3">
            <v>61454528.228126995</v>
          </cell>
        </row>
        <row r="4">
          <cell r="A4" t="str">
            <v>AOD</v>
          </cell>
          <cell r="B4">
            <v>3.2443880521204199E-2</v>
          </cell>
          <cell r="E4">
            <v>26387.6278264129</v>
          </cell>
          <cell r="F4">
            <v>202298.349903397</v>
          </cell>
          <cell r="G4">
            <v>114342.98886490495</v>
          </cell>
        </row>
        <row r="5">
          <cell r="A5" t="str">
            <v>AUDS</v>
          </cell>
          <cell r="B5">
            <v>2.3454310582475299E-3</v>
          </cell>
          <cell r="E5">
            <v>511813.411295728</v>
          </cell>
          <cell r="F5">
            <v>562666.59023698396</v>
          </cell>
          <cell r="G5">
            <v>537240.00076635601</v>
          </cell>
        </row>
        <row r="6">
          <cell r="A6" t="str">
            <v>AUMF</v>
          </cell>
          <cell r="B6">
            <v>2.7748515821675902E-3</v>
          </cell>
          <cell r="E6">
            <v>847918.92872253398</v>
          </cell>
          <cell r="F6">
            <v>860758.98935355805</v>
          </cell>
          <cell r="G6">
            <v>854338.95903804596</v>
          </cell>
        </row>
        <row r="7">
          <cell r="A7" t="str">
            <v>AUST</v>
          </cell>
          <cell r="B7">
            <v>1.3630374241801E-3</v>
          </cell>
          <cell r="E7">
            <v>1026475.92987141</v>
          </cell>
          <cell r="F7">
            <v>802463.16140504903</v>
          </cell>
          <cell r="G7">
            <v>914469.54563822947</v>
          </cell>
        </row>
        <row r="8">
          <cell r="A8" t="str">
            <v>BBOZ</v>
          </cell>
          <cell r="B8">
            <v>1.33376328022323E-3</v>
          </cell>
          <cell r="E8">
            <v>1267054.9442539201</v>
          </cell>
          <cell r="F8">
            <v>1324303.8929771599</v>
          </cell>
          <cell r="G8">
            <v>1295679.41861554</v>
          </cell>
        </row>
        <row r="9">
          <cell r="A9" t="str">
            <v>BBUS</v>
          </cell>
          <cell r="B9">
            <v>2.62437874818181E-3</v>
          </cell>
          <cell r="E9">
            <v>718062.93229032506</v>
          </cell>
          <cell r="F9">
            <v>785820.70164428896</v>
          </cell>
          <cell r="G9">
            <v>751941.81696730701</v>
          </cell>
        </row>
        <row r="10">
          <cell r="A10" t="str">
            <v>BEAR</v>
          </cell>
          <cell r="B10">
            <v>1.3233901877599099E-3</v>
          </cell>
          <cell r="E10">
            <v>1043860.28492886</v>
          </cell>
          <cell r="F10">
            <v>992267.67769562895</v>
          </cell>
          <cell r="G10">
            <v>1018063.9813122444</v>
          </cell>
        </row>
        <row r="11">
          <cell r="A11" t="str">
            <v>BILL</v>
          </cell>
          <cell r="B11">
            <v>1.2677867497882102E-4</v>
          </cell>
          <cell r="E11">
            <v>1022008.68231969</v>
          </cell>
          <cell r="F11">
            <v>997458.64581025694</v>
          </cell>
          <cell r="G11">
            <v>1009733.6640649735</v>
          </cell>
        </row>
        <row r="12">
          <cell r="A12" t="str">
            <v>BNKS</v>
          </cell>
          <cell r="B12">
            <v>2.7767971873470599E-3</v>
          </cell>
          <cell r="E12">
            <v>585822.60762984096</v>
          </cell>
          <cell r="F12">
            <v>1022140.0181855001</v>
          </cell>
          <cell r="G12">
            <v>803981.31290767051</v>
          </cell>
        </row>
        <row r="13">
          <cell r="A13" t="str">
            <v>BOND</v>
          </cell>
          <cell r="B13">
            <v>1.29818519681567E-3</v>
          </cell>
          <cell r="E13">
            <v>999349.62036398798</v>
          </cell>
          <cell r="F13">
            <v>740817.45884095295</v>
          </cell>
          <cell r="G13">
            <v>870083.53960247047</v>
          </cell>
        </row>
        <row r="14">
          <cell r="A14" t="str">
            <v>CETF</v>
          </cell>
          <cell r="B14">
            <v>4.5704245970573801E-3</v>
          </cell>
          <cell r="E14">
            <v>92081.291953648702</v>
          </cell>
          <cell r="F14">
            <v>100486.931738552</v>
          </cell>
          <cell r="G14">
            <v>96284.11184610035</v>
          </cell>
        </row>
        <row r="15">
          <cell r="A15" t="str">
            <v>CORE</v>
          </cell>
          <cell r="B15">
            <v>6.66269147658904E-3</v>
          </cell>
          <cell r="E15">
            <v>255067.57109928201</v>
          </cell>
          <cell r="F15">
            <v>633835.16821947799</v>
          </cell>
          <cell r="G15">
            <v>444451.36965938</v>
          </cell>
        </row>
        <row r="16">
          <cell r="A16" t="str">
            <v>CRED</v>
          </cell>
          <cell r="B16">
            <v>1.5387710449706702E-3</v>
          </cell>
          <cell r="E16">
            <v>794586.58437277295</v>
          </cell>
          <cell r="F16">
            <v>723965.23313953995</v>
          </cell>
          <cell r="G16">
            <v>759275.90875615645</v>
          </cell>
        </row>
        <row r="17">
          <cell r="A17" t="str">
            <v>DIV</v>
          </cell>
          <cell r="B17">
            <v>2.1670372460382403E-3</v>
          </cell>
          <cell r="E17">
            <v>341677.30777100002</v>
          </cell>
          <cell r="F17">
            <v>477546.30083798402</v>
          </cell>
          <cell r="G17">
            <v>409611.80430449202</v>
          </cell>
        </row>
        <row r="18">
          <cell r="A18" t="str">
            <v>DJRE</v>
          </cell>
          <cell r="B18">
            <v>1.6168966499491599E-3</v>
          </cell>
          <cell r="E18">
            <v>648918.79965207097</v>
          </cell>
          <cell r="F18">
            <v>890224.29210376798</v>
          </cell>
          <cell r="G18">
            <v>769571.54587791953</v>
          </cell>
        </row>
        <row r="19">
          <cell r="A19" t="str">
            <v>DMKT</v>
          </cell>
          <cell r="B19">
            <v>7.30468018412245E-3</v>
          </cell>
          <cell r="E19">
            <v>710563.02462343697</v>
          </cell>
          <cell r="F19">
            <v>719572.09319704003</v>
          </cell>
          <cell r="G19">
            <v>715067.55891023856</v>
          </cell>
        </row>
        <row r="20">
          <cell r="A20" t="str">
            <v>DRUG</v>
          </cell>
          <cell r="B20">
            <v>3.2628409532260501E-3</v>
          </cell>
          <cell r="E20">
            <v>527330.43012140598</v>
          </cell>
          <cell r="F20">
            <v>501953.909558755</v>
          </cell>
          <cell r="G20">
            <v>514642.16984008049</v>
          </cell>
        </row>
        <row r="21">
          <cell r="A21" t="str">
            <v>EEU</v>
          </cell>
          <cell r="B21">
            <v>1.29023795811371E-3</v>
          </cell>
          <cell r="E21">
            <v>948279.43702224398</v>
          </cell>
          <cell r="F21">
            <v>936036.31033619901</v>
          </cell>
          <cell r="G21">
            <v>942157.87367922149</v>
          </cell>
        </row>
        <row r="22">
          <cell r="A22" t="str">
            <v>EIGA</v>
          </cell>
          <cell r="B22">
            <v>5.8839233945403805E-3</v>
          </cell>
          <cell r="E22">
            <v>511599.06479051599</v>
          </cell>
          <cell r="F22">
            <v>508311.87149691797</v>
          </cell>
          <cell r="G22">
            <v>509955.46814371698</v>
          </cell>
        </row>
        <row r="23">
          <cell r="A23" t="str">
            <v>EINC</v>
          </cell>
          <cell r="B23">
            <v>3.4281338866091198E-3</v>
          </cell>
          <cell r="E23">
            <v>3644343.0328959101</v>
          </cell>
          <cell r="F23">
            <v>3680160.1153206602</v>
          </cell>
          <cell r="G23">
            <v>3662251.5741082849</v>
          </cell>
        </row>
        <row r="24">
          <cell r="A24" t="str">
            <v>EMKT</v>
          </cell>
          <cell r="B24">
            <v>4.7111778224333701E-3</v>
          </cell>
          <cell r="E24">
            <v>1051431.81028367</v>
          </cell>
          <cell r="F24">
            <v>101143.25868164501</v>
          </cell>
          <cell r="G24">
            <v>576287.53448265744</v>
          </cell>
        </row>
        <row r="25">
          <cell r="A25" t="str">
            <v>ESGI</v>
          </cell>
          <cell r="B25">
            <v>2.4869958224394699E-3</v>
          </cell>
          <cell r="E25">
            <v>515018.73897569103</v>
          </cell>
          <cell r="F25">
            <v>222559.02830762399</v>
          </cell>
          <cell r="G25">
            <v>368788.88364165754</v>
          </cell>
        </row>
        <row r="26">
          <cell r="A26" t="str">
            <v>ESTX</v>
          </cell>
          <cell r="B26">
            <v>1.56840542306041E-3</v>
          </cell>
          <cell r="E26">
            <v>791771.12694810703</v>
          </cell>
          <cell r="F26">
            <v>633223.69764423801</v>
          </cell>
          <cell r="G26">
            <v>712497.41229617246</v>
          </cell>
        </row>
        <row r="27">
          <cell r="A27" t="str">
            <v>ETF</v>
          </cell>
          <cell r="B27">
            <v>1.3432431242748999E-3</v>
          </cell>
          <cell r="E27">
            <v>458374.97046777699</v>
          </cell>
          <cell r="F27">
            <v>580621.45783320197</v>
          </cell>
          <cell r="G27">
            <v>519498.21415048948</v>
          </cell>
        </row>
        <row r="28">
          <cell r="A28" t="str">
            <v>ETHI</v>
          </cell>
          <cell r="B28">
            <v>2.0171085748505197E-3</v>
          </cell>
          <cell r="E28">
            <v>2616125.9595631198</v>
          </cell>
          <cell r="F28">
            <v>2951985.6474342402</v>
          </cell>
          <cell r="G28">
            <v>2784055.8034986798</v>
          </cell>
        </row>
        <row r="29">
          <cell r="A29" t="str">
            <v>ETPMAG</v>
          </cell>
          <cell r="B29">
            <v>2.1429319524431602E-3</v>
          </cell>
          <cell r="E29">
            <v>206991.39260276599</v>
          </cell>
          <cell r="F29">
            <v>184667.53304630899</v>
          </cell>
          <cell r="G29">
            <v>195829.46282453748</v>
          </cell>
        </row>
        <row r="30">
          <cell r="A30" t="str">
            <v>ETPMPD</v>
          </cell>
          <cell r="B30">
            <v>7.7712890827665001E-3</v>
          </cell>
          <cell r="E30">
            <v>37920.445949556997</v>
          </cell>
          <cell r="F30">
            <v>37789.701737782802</v>
          </cell>
          <cell r="G30">
            <v>37855.073843669903</v>
          </cell>
        </row>
        <row r="31">
          <cell r="A31" t="str">
            <v>ETPMPM</v>
          </cell>
          <cell r="B31">
            <v>5.57097097330163E-3</v>
          </cell>
          <cell r="E31">
            <v>76330.571225587002</v>
          </cell>
          <cell r="F31">
            <v>76613.760320876507</v>
          </cell>
          <cell r="G31">
            <v>76472.165773231754</v>
          </cell>
        </row>
        <row r="32">
          <cell r="A32" t="str">
            <v>ETPMPT</v>
          </cell>
          <cell r="B32">
            <v>3.91709882093707E-3</v>
          </cell>
          <cell r="E32">
            <v>98574.2082417653</v>
          </cell>
          <cell r="F32">
            <v>37142.939851486197</v>
          </cell>
          <cell r="G32">
            <v>67858.574046625756</v>
          </cell>
        </row>
        <row r="33">
          <cell r="A33" t="str">
            <v>EX20</v>
          </cell>
          <cell r="B33">
            <v>2.0187012384083399E-3</v>
          </cell>
          <cell r="E33">
            <v>995715.01650271902</v>
          </cell>
          <cell r="F33">
            <v>1044973.66745962</v>
          </cell>
          <cell r="G33">
            <v>1020344.3419811695</v>
          </cell>
        </row>
        <row r="34">
          <cell r="A34" t="str">
            <v>FAIR</v>
          </cell>
          <cell r="B34">
            <v>1.37130668042271E-3</v>
          </cell>
          <cell r="E34">
            <v>2402479.92455706</v>
          </cell>
          <cell r="F34">
            <v>1970661.9762874299</v>
          </cell>
          <cell r="G34">
            <v>2186570.9504222451</v>
          </cell>
        </row>
        <row r="35">
          <cell r="A35" t="str">
            <v>FDIV</v>
          </cell>
          <cell r="B35">
            <v>1.7540781497663099E-3</v>
          </cell>
          <cell r="E35">
            <v>1358063.4791302299</v>
          </cell>
          <cell r="F35">
            <v>627857.93912077695</v>
          </cell>
          <cell r="G35">
            <v>992960.70912550343</v>
          </cell>
        </row>
        <row r="36">
          <cell r="A36" t="str">
            <v>FLOT</v>
          </cell>
          <cell r="B36">
            <v>8.4695312003481695E-4</v>
          </cell>
          <cell r="E36">
            <v>854558.59335009905</v>
          </cell>
          <cell r="F36">
            <v>736252.77133768494</v>
          </cell>
          <cell r="G36">
            <v>795405.68234389205</v>
          </cell>
        </row>
        <row r="37">
          <cell r="A37" t="str">
            <v>FOOD</v>
          </cell>
          <cell r="B37">
            <v>3.9568594714926193E-3</v>
          </cell>
          <cell r="E37">
            <v>421323.34406886098</v>
          </cell>
          <cell r="F37">
            <v>739403.94051762298</v>
          </cell>
          <cell r="G37">
            <v>580363.64229324204</v>
          </cell>
        </row>
        <row r="38">
          <cell r="A38" t="str">
            <v>FUEL</v>
          </cell>
          <cell r="B38">
            <v>3.5257952058130797E-3</v>
          </cell>
          <cell r="E38">
            <v>368347.06729373999</v>
          </cell>
          <cell r="F38">
            <v>428611.38292780798</v>
          </cell>
          <cell r="G38">
            <v>398479.22511077399</v>
          </cell>
        </row>
        <row r="39">
          <cell r="A39" t="str">
            <v>GDX</v>
          </cell>
          <cell r="B39">
            <v>3.2822923497185202E-3</v>
          </cell>
          <cell r="E39">
            <v>231663.09822843701</v>
          </cell>
          <cell r="F39">
            <v>219292.88859226301</v>
          </cell>
          <cell r="G39">
            <v>225477.99341035</v>
          </cell>
        </row>
        <row r="40">
          <cell r="A40" t="str">
            <v>GEAR</v>
          </cell>
          <cell r="B40">
            <v>1.5027934335678399E-3</v>
          </cell>
          <cell r="E40">
            <v>884106.41710226005</v>
          </cell>
          <cell r="F40">
            <v>879160.57670787105</v>
          </cell>
          <cell r="G40">
            <v>881633.49690506561</v>
          </cell>
        </row>
        <row r="41">
          <cell r="A41" t="str">
            <v>GGUS</v>
          </cell>
          <cell r="B41">
            <v>1.3074276849882199E-3</v>
          </cell>
          <cell r="E41">
            <v>373053.88003946398</v>
          </cell>
          <cell r="F41">
            <v>561101.95665092999</v>
          </cell>
          <cell r="G41">
            <v>467077.91834519699</v>
          </cell>
        </row>
        <row r="42">
          <cell r="A42" t="str">
            <v>GLIN</v>
          </cell>
          <cell r="B42">
            <v>7.0187532444174108E-3</v>
          </cell>
          <cell r="E42">
            <v>792657.67071502702</v>
          </cell>
          <cell r="F42">
            <v>785164.23884921905</v>
          </cell>
          <cell r="G42">
            <v>788910.95478212298</v>
          </cell>
        </row>
        <row r="43">
          <cell r="A43" t="str">
            <v>GOLD</v>
          </cell>
          <cell r="B43">
            <v>8.1781274218835104E-4</v>
          </cell>
          <cell r="E43">
            <v>753835.17859955097</v>
          </cell>
          <cell r="F43">
            <v>633655.263111301</v>
          </cell>
          <cell r="G43">
            <v>693745.22085542604</v>
          </cell>
        </row>
        <row r="44">
          <cell r="A44" t="str">
            <v>GOVT</v>
          </cell>
          <cell r="B44">
            <v>1.6326892761978501E-3</v>
          </cell>
          <cell r="E44">
            <v>828032.28447069705</v>
          </cell>
          <cell r="F44">
            <v>624139.06207831099</v>
          </cell>
          <cell r="G44">
            <v>726085.67327450402</v>
          </cell>
        </row>
        <row r="45">
          <cell r="A45" t="str">
            <v>GROW</v>
          </cell>
          <cell r="B45">
            <v>5.3974708002274899E-3</v>
          </cell>
          <cell r="E45">
            <v>1101940.1382853501</v>
          </cell>
          <cell r="F45">
            <v>1118784.98135654</v>
          </cell>
          <cell r="G45">
            <v>1110362.5598209449</v>
          </cell>
        </row>
        <row r="46">
          <cell r="A46" t="str">
            <v>HACK</v>
          </cell>
          <cell r="B46">
            <v>2.30496367752544E-3</v>
          </cell>
          <cell r="E46">
            <v>634942.67019294004</v>
          </cell>
          <cell r="F46">
            <v>553858.94709327701</v>
          </cell>
          <cell r="G46">
            <v>594400.80864310847</v>
          </cell>
        </row>
        <row r="47">
          <cell r="A47" t="str">
            <v>HBRD</v>
          </cell>
          <cell r="B47">
            <v>1.9443827777830399E-3</v>
          </cell>
          <cell r="E47">
            <v>3080266.30465751</v>
          </cell>
          <cell r="F47">
            <v>3016080.3021199601</v>
          </cell>
          <cell r="G47">
            <v>3048173.3033887353</v>
          </cell>
        </row>
        <row r="48">
          <cell r="A48" t="str">
            <v>HEUR</v>
          </cell>
          <cell r="B48">
            <v>2.1646295925544599E-3</v>
          </cell>
          <cell r="E48">
            <v>317804.36721836397</v>
          </cell>
          <cell r="F48">
            <v>226925.72275638601</v>
          </cell>
          <cell r="G48">
            <v>272365.04498737497</v>
          </cell>
        </row>
        <row r="49">
          <cell r="A49" t="str">
            <v>HJPN</v>
          </cell>
          <cell r="B49">
            <v>2.0542370319930102E-3</v>
          </cell>
          <cell r="E49">
            <v>414590.29027921997</v>
          </cell>
          <cell r="F49">
            <v>570150.463507212</v>
          </cell>
          <cell r="G49">
            <v>492370.37689321599</v>
          </cell>
        </row>
        <row r="50">
          <cell r="A50" t="str">
            <v>HVST</v>
          </cell>
          <cell r="B50">
            <v>1.1057931817390699E-3</v>
          </cell>
          <cell r="E50">
            <v>1332580.83006455</v>
          </cell>
          <cell r="F50">
            <v>1426673.31044443</v>
          </cell>
          <cell r="G50">
            <v>1379627.07025449</v>
          </cell>
        </row>
        <row r="51">
          <cell r="A51" t="str">
            <v>IAA</v>
          </cell>
          <cell r="B51">
            <v>3.81442306726445E-3</v>
          </cell>
          <cell r="E51">
            <v>496395.97520610399</v>
          </cell>
          <cell r="F51">
            <v>375820.20586254197</v>
          </cell>
          <cell r="G51">
            <v>436108.09053432301</v>
          </cell>
        </row>
        <row r="52">
          <cell r="A52" t="str">
            <v>IAF</v>
          </cell>
          <cell r="B52">
            <v>6.8026190759832997E-4</v>
          </cell>
          <cell r="E52">
            <v>3665637.25473007</v>
          </cell>
          <cell r="F52">
            <v>3426041.6492447299</v>
          </cell>
          <cell r="G52">
            <v>3545839.4519873997</v>
          </cell>
        </row>
        <row r="53">
          <cell r="A53" t="str">
            <v>IEM</v>
          </cell>
          <cell r="B53">
            <v>1.0979933919324301E-3</v>
          </cell>
          <cell r="E53">
            <v>1072464.0464331999</v>
          </cell>
          <cell r="F53">
            <v>1058877.6597273301</v>
          </cell>
          <cell r="G53">
            <v>1065670.853080265</v>
          </cell>
        </row>
        <row r="54">
          <cell r="A54" t="str">
            <v>IEU</v>
          </cell>
          <cell r="B54">
            <v>9.7549165849080603E-4</v>
          </cell>
          <cell r="E54">
            <v>1092241.8464675599</v>
          </cell>
          <cell r="F54">
            <v>798785.71411449101</v>
          </cell>
          <cell r="G54">
            <v>945513.78029102553</v>
          </cell>
        </row>
        <row r="55">
          <cell r="A55" t="str">
            <v>IFRA</v>
          </cell>
          <cell r="B55">
            <v>2.69850775008598E-3</v>
          </cell>
          <cell r="E55">
            <v>690978.22461962199</v>
          </cell>
          <cell r="F55">
            <v>720394.591636425</v>
          </cell>
          <cell r="G55">
            <v>705686.4081280235</v>
          </cell>
        </row>
        <row r="56">
          <cell r="A56" t="str">
            <v>IGB</v>
          </cell>
          <cell r="B56">
            <v>1.1082245092627402E-3</v>
          </cell>
          <cell r="E56">
            <v>1780629.8544282501</v>
          </cell>
          <cell r="F56">
            <v>1472576.2664818801</v>
          </cell>
          <cell r="G56">
            <v>1626603.0604550652</v>
          </cell>
        </row>
        <row r="57">
          <cell r="A57" t="str">
            <v>IHCB</v>
          </cell>
          <cell r="B57">
            <v>3.4410801178648199E-3</v>
          </cell>
          <cell r="E57">
            <v>990076.99256609497</v>
          </cell>
          <cell r="F57">
            <v>1130915.6537758801</v>
          </cell>
          <cell r="G57">
            <v>1060496.3231709874</v>
          </cell>
        </row>
        <row r="58">
          <cell r="A58" t="str">
            <v>IHD</v>
          </cell>
          <cell r="B58">
            <v>1.38489959735615E-3</v>
          </cell>
          <cell r="E58">
            <v>1269271.80536031</v>
          </cell>
          <cell r="F58">
            <v>1590356.5447746599</v>
          </cell>
          <cell r="G58">
            <v>1429814.1750674848</v>
          </cell>
        </row>
        <row r="59">
          <cell r="A59" t="str">
            <v>IHEB</v>
          </cell>
          <cell r="B59">
            <v>4.0909280445717297E-3</v>
          </cell>
          <cell r="E59">
            <v>334631.77108490799</v>
          </cell>
          <cell r="F59">
            <v>321592.49269388802</v>
          </cell>
          <cell r="G59">
            <v>328112.13188939798</v>
          </cell>
        </row>
        <row r="60">
          <cell r="A60" t="str">
            <v>IHHY</v>
          </cell>
          <cell r="B60">
            <v>4.5823752232554797E-3</v>
          </cell>
          <cell r="E60">
            <v>340724.92887007399</v>
          </cell>
          <cell r="F60">
            <v>288551.35142784298</v>
          </cell>
          <cell r="G60">
            <v>314638.14014895848</v>
          </cell>
        </row>
        <row r="61">
          <cell r="A61" t="str">
            <v>IHOO</v>
          </cell>
          <cell r="B61">
            <v>3.5728902964868199E-3</v>
          </cell>
          <cell r="E61">
            <v>459405.023202746</v>
          </cell>
          <cell r="F61">
            <v>276248.59568189998</v>
          </cell>
          <cell r="G61">
            <v>367826.80944232299</v>
          </cell>
        </row>
        <row r="62">
          <cell r="A62" t="str">
            <v>IHVV</v>
          </cell>
          <cell r="B62">
            <v>1.3428276974548499E-3</v>
          </cell>
          <cell r="E62">
            <v>1517182.57742282</v>
          </cell>
          <cell r="F62">
            <v>1277688.94409542</v>
          </cell>
          <cell r="G62">
            <v>1397435.7607591199</v>
          </cell>
        </row>
        <row r="63">
          <cell r="A63" t="str">
            <v>IHWL</v>
          </cell>
          <cell r="B63">
            <v>3.5697776622447804E-3</v>
          </cell>
          <cell r="E63">
            <v>1026121.5858292599</v>
          </cell>
          <cell r="F63">
            <v>1031331.23848331</v>
          </cell>
          <cell r="G63">
            <v>1028726.412156285</v>
          </cell>
        </row>
        <row r="64">
          <cell r="A64" t="str">
            <v>IJH</v>
          </cell>
          <cell r="B64">
            <v>1.7181813239426E-3</v>
          </cell>
          <cell r="E64">
            <v>2680732.1152715902</v>
          </cell>
          <cell r="F64">
            <v>769607.73471541295</v>
          </cell>
          <cell r="G64">
            <v>1725169.9249935015</v>
          </cell>
        </row>
        <row r="65">
          <cell r="A65" t="str">
            <v>IJP</v>
          </cell>
          <cell r="B65">
            <v>1.56038571471874E-3</v>
          </cell>
          <cell r="E65">
            <v>1203042.9267623499</v>
          </cell>
          <cell r="F65">
            <v>912679.38985724398</v>
          </cell>
          <cell r="G65">
            <v>1057861.1583097968</v>
          </cell>
        </row>
        <row r="66">
          <cell r="A66" t="str">
            <v>IJR</v>
          </cell>
          <cell r="B66">
            <v>4.1839045201159299E-3</v>
          </cell>
          <cell r="E66">
            <v>404307.209937596</v>
          </cell>
          <cell r="F66">
            <v>363099.53675975098</v>
          </cell>
          <cell r="G66">
            <v>383703.37334867346</v>
          </cell>
        </row>
        <row r="67">
          <cell r="A67" t="str">
            <v>IKO</v>
          </cell>
          <cell r="B67">
            <v>5.9319297255245491E-3</v>
          </cell>
          <cell r="E67">
            <v>212426.95639628099</v>
          </cell>
          <cell r="F67">
            <v>196271.431644859</v>
          </cell>
          <cell r="G67">
            <v>204349.19402056999</v>
          </cell>
        </row>
        <row r="68">
          <cell r="A68" t="str">
            <v>ILB</v>
          </cell>
          <cell r="B68">
            <v>1.6050637450629199E-3</v>
          </cell>
          <cell r="E68">
            <v>606446.83967748506</v>
          </cell>
          <cell r="F68">
            <v>344210.79485234298</v>
          </cell>
          <cell r="G68">
            <v>475328.81726491405</v>
          </cell>
        </row>
        <row r="69">
          <cell r="A69" t="str">
            <v>ILC</v>
          </cell>
          <cell r="B69">
            <v>8.4051083011374298E-4</v>
          </cell>
          <cell r="E69">
            <v>1884426.3313042901</v>
          </cell>
          <cell r="F69">
            <v>1816070.0810019199</v>
          </cell>
          <cell r="G69">
            <v>1850248.206153105</v>
          </cell>
        </row>
        <row r="70">
          <cell r="A70" t="str">
            <v>INIF</v>
          </cell>
          <cell r="B70">
            <v>4.63491539173969E-3</v>
          </cell>
          <cell r="E70">
            <v>659389.49945741799</v>
          </cell>
          <cell r="F70">
            <v>483495.97979514702</v>
          </cell>
          <cell r="G70">
            <v>571442.73962628248</v>
          </cell>
        </row>
        <row r="71">
          <cell r="A71" t="str">
            <v>IOO</v>
          </cell>
          <cell r="B71">
            <v>1.2025538260416401E-3</v>
          </cell>
          <cell r="E71">
            <v>714875.71323089697</v>
          </cell>
          <cell r="F71">
            <v>593420.49940728501</v>
          </cell>
          <cell r="G71">
            <v>654148.10631909105</v>
          </cell>
        </row>
        <row r="72">
          <cell r="A72" t="str">
            <v>IOZ</v>
          </cell>
          <cell r="B72">
            <v>6.2636707017147894E-4</v>
          </cell>
          <cell r="E72">
            <v>1915856.4110717501</v>
          </cell>
          <cell r="F72">
            <v>1820132.88478279</v>
          </cell>
          <cell r="G72">
            <v>1867994.64792727</v>
          </cell>
        </row>
        <row r="73">
          <cell r="A73" t="str">
            <v>ISEC</v>
          </cell>
          <cell r="B73">
            <v>1.1745761369465099E-4</v>
          </cell>
          <cell r="E73">
            <v>1013735.9662532801</v>
          </cell>
          <cell r="F73">
            <v>986442.85555826395</v>
          </cell>
          <cell r="G73">
            <v>1000089.410905772</v>
          </cell>
        </row>
        <row r="74">
          <cell r="A74" t="str">
            <v>ISO</v>
          </cell>
          <cell r="B74">
            <v>2.8809820360336403E-3</v>
          </cell>
          <cell r="E74">
            <v>791431.08159368206</v>
          </cell>
          <cell r="F74">
            <v>721643.46066103503</v>
          </cell>
          <cell r="G74">
            <v>756537.27112735854</v>
          </cell>
        </row>
        <row r="75">
          <cell r="A75" t="str">
            <v>ITW</v>
          </cell>
          <cell r="B75">
            <v>9.9893955655814895E-3</v>
          </cell>
          <cell r="E75">
            <v>346730.77170139301</v>
          </cell>
          <cell r="F75">
            <v>165178.54628460499</v>
          </cell>
          <cell r="G75">
            <v>255954.658992999</v>
          </cell>
        </row>
        <row r="76">
          <cell r="A76" t="str">
            <v>IVE</v>
          </cell>
          <cell r="B76">
            <v>2.0544479506509898E-3</v>
          </cell>
          <cell r="E76">
            <v>1083686.2231025801</v>
          </cell>
          <cell r="F76">
            <v>860217.61861941498</v>
          </cell>
          <cell r="G76">
            <v>971951.92086099752</v>
          </cell>
        </row>
        <row r="77">
          <cell r="A77" t="str">
            <v>IVV</v>
          </cell>
          <cell r="B77">
            <v>7.2296293280169001E-4</v>
          </cell>
          <cell r="E77">
            <v>2581414.3388462099</v>
          </cell>
          <cell r="F77">
            <v>1589082.0380770201</v>
          </cell>
          <cell r="G77">
            <v>2085248.188461615</v>
          </cell>
        </row>
        <row r="78">
          <cell r="A78" t="str">
            <v>IWLD</v>
          </cell>
          <cell r="B78">
            <v>3.3184622383261499E-3</v>
          </cell>
          <cell r="E78">
            <v>1372932.95442948</v>
          </cell>
          <cell r="F78">
            <v>1334906.0817672999</v>
          </cell>
          <cell r="G78">
            <v>1353919.51809839</v>
          </cell>
        </row>
        <row r="79">
          <cell r="A79" t="str">
            <v>IXI</v>
          </cell>
          <cell r="B79">
            <v>2.5515836636603099E-3</v>
          </cell>
          <cell r="E79">
            <v>214256.35047067</v>
          </cell>
          <cell r="F79">
            <v>267657.29276165197</v>
          </cell>
          <cell r="G79">
            <v>240956.82161616097</v>
          </cell>
        </row>
        <row r="80">
          <cell r="A80" t="str">
            <v>IXJ</v>
          </cell>
          <cell r="B80">
            <v>1.9065329247213499E-3</v>
          </cell>
          <cell r="E80">
            <v>207446.90929391599</v>
          </cell>
          <cell r="F80">
            <v>227506.10008976699</v>
          </cell>
          <cell r="G80">
            <v>217476.50469184149</v>
          </cell>
        </row>
        <row r="81">
          <cell r="A81" t="str">
            <v>IZZ</v>
          </cell>
          <cell r="B81">
            <v>4.0962481750186101E-3</v>
          </cell>
          <cell r="E81">
            <v>498701.24596254597</v>
          </cell>
          <cell r="F81">
            <v>519185.57973348099</v>
          </cell>
          <cell r="G81">
            <v>508943.41284801345</v>
          </cell>
        </row>
        <row r="82">
          <cell r="A82" t="str">
            <v>KII</v>
          </cell>
          <cell r="B82">
            <v>1.2992789969302899E-2</v>
          </cell>
          <cell r="E82">
            <v>456010.04217226699</v>
          </cell>
          <cell r="F82">
            <v>310372.273127669</v>
          </cell>
          <cell r="G82">
            <v>383191.15764996799</v>
          </cell>
        </row>
        <row r="83">
          <cell r="A83" t="str">
            <v>KSM</v>
          </cell>
          <cell r="B83">
            <v>1.2350085323915501E-2</v>
          </cell>
          <cell r="E83">
            <v>470707.40548766201</v>
          </cell>
          <cell r="F83">
            <v>433496.451598096</v>
          </cell>
          <cell r="G83">
            <v>452101.928542879</v>
          </cell>
        </row>
        <row r="84">
          <cell r="A84" t="str">
            <v>MGE</v>
          </cell>
          <cell r="B84">
            <v>3.6676671345626599E-3</v>
          </cell>
          <cell r="E84">
            <v>3614739.5607922701</v>
          </cell>
          <cell r="F84">
            <v>3086964.9624745999</v>
          </cell>
          <cell r="G84">
            <v>3350852.2616334353</v>
          </cell>
        </row>
        <row r="85">
          <cell r="A85" t="str">
            <v>MHG</v>
          </cell>
          <cell r="B85">
            <v>5.0543330437600098E-3</v>
          </cell>
          <cell r="E85">
            <v>1568790.63150025</v>
          </cell>
          <cell r="F85">
            <v>1301335.9922726699</v>
          </cell>
          <cell r="G85">
            <v>1435063.3118864601</v>
          </cell>
        </row>
        <row r="86">
          <cell r="A86" t="str">
            <v>MICH</v>
          </cell>
          <cell r="B86">
            <v>4.2461982541183302E-3</v>
          </cell>
          <cell r="E86">
            <v>1533378.05572771</v>
          </cell>
          <cell r="F86">
            <v>859456.77995688096</v>
          </cell>
          <cell r="G86">
            <v>1196417.4178422955</v>
          </cell>
        </row>
        <row r="87">
          <cell r="A87" t="str">
            <v>MNRS</v>
          </cell>
          <cell r="B87">
            <v>5.2614670678078302E-3</v>
          </cell>
          <cell r="E87">
            <v>191847.53417571299</v>
          </cell>
          <cell r="F87">
            <v>102477.768195871</v>
          </cell>
          <cell r="G87">
            <v>147162.651185792</v>
          </cell>
        </row>
        <row r="88">
          <cell r="A88" t="str">
            <v>MOAT</v>
          </cell>
          <cell r="B88">
            <v>2.6792766897650801E-3</v>
          </cell>
          <cell r="E88">
            <v>256755.230722971</v>
          </cell>
          <cell r="F88">
            <v>487778.28497493902</v>
          </cell>
          <cell r="G88">
            <v>372266.75784895499</v>
          </cell>
        </row>
        <row r="89">
          <cell r="A89" t="str">
            <v>MOGL</v>
          </cell>
          <cell r="B89">
            <v>4.4719744727234898E-3</v>
          </cell>
          <cell r="E89">
            <v>1792513.9486450199</v>
          </cell>
          <cell r="F89">
            <v>1185987.0387456999</v>
          </cell>
          <cell r="G89">
            <v>1489250.4936953599</v>
          </cell>
        </row>
        <row r="90">
          <cell r="A90" t="str">
            <v>MONY</v>
          </cell>
          <cell r="B90">
            <v>9.99500249875062E-4</v>
          </cell>
          <cell r="E90">
            <v>60000</v>
          </cell>
          <cell r="F90">
            <v>50048.998999999902</v>
          </cell>
          <cell r="G90">
            <v>55024.499499999947</v>
          </cell>
        </row>
        <row r="91">
          <cell r="A91" t="str">
            <v>MVA</v>
          </cell>
          <cell r="B91">
            <v>1.2259169509031E-3</v>
          </cell>
          <cell r="E91">
            <v>405101.08429630997</v>
          </cell>
          <cell r="F91">
            <v>621678.00610574905</v>
          </cell>
          <cell r="G91">
            <v>513389.54520102951</v>
          </cell>
        </row>
        <row r="92">
          <cell r="A92" t="str">
            <v>MVB</v>
          </cell>
          <cell r="B92">
            <v>1.11058546508804E-3</v>
          </cell>
          <cell r="E92">
            <v>558558.64285191998</v>
          </cell>
          <cell r="F92">
            <v>615539.47029395902</v>
          </cell>
          <cell r="G92">
            <v>587049.0565729395</v>
          </cell>
        </row>
        <row r="93">
          <cell r="A93" t="str">
            <v>MVE</v>
          </cell>
          <cell r="B93">
            <v>1.01203780778392E-3</v>
          </cell>
          <cell r="E93">
            <v>998058.54395792505</v>
          </cell>
          <cell r="F93">
            <v>1778690.2447135299</v>
          </cell>
          <cell r="G93">
            <v>1388374.3943357274</v>
          </cell>
        </row>
        <row r="94">
          <cell r="A94" t="str">
            <v>MVOL</v>
          </cell>
          <cell r="B94">
            <v>1.6444209544805698E-3</v>
          </cell>
          <cell r="E94">
            <v>813911.33406303101</v>
          </cell>
          <cell r="F94">
            <v>901551.41719453805</v>
          </cell>
          <cell r="G94">
            <v>857731.37562878453</v>
          </cell>
        </row>
        <row r="95">
          <cell r="A95" t="str">
            <v>MVR</v>
          </cell>
          <cell r="B95">
            <v>1.9320533384129901E-3</v>
          </cell>
          <cell r="E95">
            <v>407544.60065212101</v>
          </cell>
          <cell r="F95">
            <v>701278.70903976297</v>
          </cell>
          <cell r="G95">
            <v>554411.65484594204</v>
          </cell>
        </row>
        <row r="96">
          <cell r="A96" t="str">
            <v>MVS</v>
          </cell>
          <cell r="B96">
            <v>1.6283199909669999E-3</v>
          </cell>
          <cell r="E96">
            <v>379220.525873904</v>
          </cell>
          <cell r="F96">
            <v>707650.87256683502</v>
          </cell>
          <cell r="G96">
            <v>543435.69922036957</v>
          </cell>
        </row>
        <row r="97">
          <cell r="A97" t="str">
            <v>MVW</v>
          </cell>
          <cell r="B97">
            <v>7.2743598475669797E-4</v>
          </cell>
          <cell r="E97">
            <v>2834085.2940029898</v>
          </cell>
          <cell r="F97">
            <v>2937622.1063107201</v>
          </cell>
          <cell r="G97">
            <v>2885853.7001568549</v>
          </cell>
        </row>
        <row r="98">
          <cell r="A98" t="str">
            <v>NDQ</v>
          </cell>
          <cell r="B98">
            <v>1.0419016236958201E-3</v>
          </cell>
          <cell r="E98">
            <v>2390235.5805752799</v>
          </cell>
          <cell r="F98">
            <v>2157738.2848926899</v>
          </cell>
          <cell r="G98">
            <v>2273986.9327339847</v>
          </cell>
        </row>
        <row r="99">
          <cell r="A99" t="str">
            <v>OOO</v>
          </cell>
          <cell r="B99">
            <v>2.6572759827317798E-3</v>
          </cell>
          <cell r="E99">
            <v>455546.45918621297</v>
          </cell>
          <cell r="F99">
            <v>422274.12484999001</v>
          </cell>
          <cell r="G99">
            <v>438910.29201810149</v>
          </cell>
        </row>
        <row r="100">
          <cell r="A100" t="str">
            <v>OZF</v>
          </cell>
          <cell r="B100">
            <v>1.2178229187254901E-3</v>
          </cell>
          <cell r="E100">
            <v>1336807.75633871</v>
          </cell>
          <cell r="F100">
            <v>1229719.0041318999</v>
          </cell>
          <cell r="G100">
            <v>1283263.3802353051</v>
          </cell>
        </row>
        <row r="101">
          <cell r="A101" t="str">
            <v>OZR</v>
          </cell>
          <cell r="B101">
            <v>1.63699714613156E-3</v>
          </cell>
          <cell r="E101">
            <v>521330.42502156401</v>
          </cell>
          <cell r="F101">
            <v>664827.25048782304</v>
          </cell>
          <cell r="G101">
            <v>593078.83775469358</v>
          </cell>
        </row>
        <row r="102">
          <cell r="A102" t="str">
            <v>PAXX</v>
          </cell>
          <cell r="B102">
            <v>3.5265944476804401E-3</v>
          </cell>
          <cell r="E102">
            <v>1708598.5023659901</v>
          </cell>
          <cell r="F102">
            <v>1570001.21905978</v>
          </cell>
          <cell r="G102">
            <v>1639299.8607128849</v>
          </cell>
        </row>
        <row r="103">
          <cell r="A103" t="str">
            <v>PIXX</v>
          </cell>
          <cell r="B103">
            <v>3.1546009616549198E-3</v>
          </cell>
          <cell r="E103">
            <v>1706043.9133619601</v>
          </cell>
          <cell r="F103">
            <v>1546073.8335776399</v>
          </cell>
          <cell r="G103">
            <v>1626058.8734698</v>
          </cell>
        </row>
        <row r="104">
          <cell r="A104" t="str">
            <v>PLUS</v>
          </cell>
          <cell r="B104">
            <v>2.4319706556620098E-3</v>
          </cell>
          <cell r="E104">
            <v>1047772.9919028</v>
          </cell>
          <cell r="F104">
            <v>787061.58301211696</v>
          </cell>
          <cell r="G104">
            <v>917417.28745745844</v>
          </cell>
        </row>
        <row r="105">
          <cell r="A105" t="str">
            <v>PMGOLD</v>
          </cell>
          <cell r="B105">
            <v>3.56091041406423E-3</v>
          </cell>
          <cell r="E105">
            <v>248641.17553165101</v>
          </cell>
          <cell r="F105">
            <v>260210.977666374</v>
          </cell>
          <cell r="G105">
            <v>254426.07659901251</v>
          </cell>
        </row>
        <row r="106">
          <cell r="A106" t="str">
            <v>POU</v>
          </cell>
          <cell r="B106">
            <v>1.0211888691984701E-3</v>
          </cell>
          <cell r="E106">
            <v>1236579.94238542</v>
          </cell>
          <cell r="F106">
            <v>1636275.2062671999</v>
          </cell>
          <cell r="G106">
            <v>1436427.5743263098</v>
          </cell>
        </row>
        <row r="107">
          <cell r="A107" t="str">
            <v>QAG</v>
          </cell>
          <cell r="B107">
            <v>8.4782433678238997E-3</v>
          </cell>
          <cell r="E107">
            <v>115515.669307855</v>
          </cell>
          <cell r="F107">
            <v>101160.837552674</v>
          </cell>
          <cell r="G107">
            <v>108338.25343026451</v>
          </cell>
        </row>
        <row r="108">
          <cell r="A108" t="str">
            <v>QAU</v>
          </cell>
          <cell r="B108">
            <v>2.2308292446270401E-3</v>
          </cell>
          <cell r="E108">
            <v>651988.76703874103</v>
          </cell>
          <cell r="F108">
            <v>379463.92076556297</v>
          </cell>
          <cell r="G108">
            <v>515726.34390215203</v>
          </cell>
        </row>
        <row r="109">
          <cell r="A109" t="str">
            <v>QCB</v>
          </cell>
          <cell r="B109">
            <v>8.0529495055863803E-3</v>
          </cell>
          <cell r="E109">
            <v>121040.150293246</v>
          </cell>
          <cell r="F109">
            <v>128727.11836015699</v>
          </cell>
          <cell r="G109">
            <v>124883.63432670149</v>
          </cell>
        </row>
        <row r="110">
          <cell r="A110" t="str">
            <v>QFN</v>
          </cell>
          <cell r="B110">
            <v>1.31310792684117E-3</v>
          </cell>
          <cell r="E110">
            <v>782411.367836716</v>
          </cell>
          <cell r="F110">
            <v>1058314.68013137</v>
          </cell>
          <cell r="G110">
            <v>920363.02398404293</v>
          </cell>
        </row>
        <row r="111">
          <cell r="A111" t="str">
            <v>QMIX</v>
          </cell>
          <cell r="B111">
            <v>2.51937893783904E-3</v>
          </cell>
          <cell r="E111">
            <v>279829.801394551</v>
          </cell>
          <cell r="F111">
            <v>287570.25148162001</v>
          </cell>
          <cell r="G111">
            <v>283700.02643808548</v>
          </cell>
        </row>
        <row r="112">
          <cell r="A112" t="str">
            <v>QOZ</v>
          </cell>
          <cell r="B112">
            <v>1.08849640221928E-3</v>
          </cell>
          <cell r="E112">
            <v>1921740.12915956</v>
          </cell>
          <cell r="F112">
            <v>1925837.6696333101</v>
          </cell>
          <cell r="G112">
            <v>1923788.8993964349</v>
          </cell>
        </row>
        <row r="113">
          <cell r="A113" t="str">
            <v>QPON</v>
          </cell>
          <cell r="B113">
            <v>3.9230847359931597E-4</v>
          </cell>
          <cell r="E113">
            <v>3372594.5365754198</v>
          </cell>
          <cell r="F113">
            <v>4176959.8036680501</v>
          </cell>
          <cell r="G113">
            <v>3774777.170121735</v>
          </cell>
        </row>
        <row r="114">
          <cell r="A114" t="str">
            <v>QRE</v>
          </cell>
          <cell r="B114">
            <v>2.00984349604416E-3</v>
          </cell>
          <cell r="E114">
            <v>415531.94604926999</v>
          </cell>
          <cell r="F114">
            <v>460060.67483810702</v>
          </cell>
          <cell r="G114">
            <v>437796.31044368853</v>
          </cell>
        </row>
        <row r="115">
          <cell r="A115" t="str">
            <v>QUAL</v>
          </cell>
          <cell r="B115">
            <v>2.0444879677795199E-3</v>
          </cell>
          <cell r="E115">
            <v>1127782.27577164</v>
          </cell>
          <cell r="F115">
            <v>1730747.06774149</v>
          </cell>
          <cell r="G115">
            <v>1429264.6717565651</v>
          </cell>
        </row>
        <row r="116">
          <cell r="A116" t="str">
            <v>QUS</v>
          </cell>
          <cell r="B116">
            <v>1.9566150393440303E-3</v>
          </cell>
          <cell r="E116">
            <v>605591.196738431</v>
          </cell>
          <cell r="F116">
            <v>1602349.6527068999</v>
          </cell>
          <cell r="G116">
            <v>1103970.4247226655</v>
          </cell>
        </row>
        <row r="117">
          <cell r="A117" t="str">
            <v>RARI</v>
          </cell>
          <cell r="B117">
            <v>3.2799103097469902E-3</v>
          </cell>
          <cell r="E117">
            <v>747220.85643015197</v>
          </cell>
          <cell r="F117">
            <v>633501.77622150304</v>
          </cell>
          <cell r="G117">
            <v>690361.3163258275</v>
          </cell>
        </row>
        <row r="118">
          <cell r="A118" t="str">
            <v>RCB</v>
          </cell>
          <cell r="B118">
            <v>2.9443365624353501E-3</v>
          </cell>
          <cell r="E118">
            <v>1231197.92237</v>
          </cell>
          <cell r="F118">
            <v>1146710.9668370199</v>
          </cell>
          <cell r="G118">
            <v>1188954.44460351</v>
          </cell>
        </row>
        <row r="119">
          <cell r="A119" t="str">
            <v>RDV</v>
          </cell>
          <cell r="B119">
            <v>9.4061413739389508E-4</v>
          </cell>
          <cell r="E119">
            <v>866806.49682596605</v>
          </cell>
          <cell r="F119">
            <v>1092718.09690553</v>
          </cell>
          <cell r="G119">
            <v>979762.29686574801</v>
          </cell>
        </row>
        <row r="120">
          <cell r="A120" t="str">
            <v>RENT</v>
          </cell>
          <cell r="B120">
            <v>7.6441487180706506E-3</v>
          </cell>
          <cell r="E120">
            <v>736380.23537089606</v>
          </cell>
          <cell r="F120">
            <v>749360.91161508695</v>
          </cell>
          <cell r="G120">
            <v>742870.57349299151</v>
          </cell>
        </row>
        <row r="121">
          <cell r="A121" t="str">
            <v>RGB</v>
          </cell>
          <cell r="B121">
            <v>2.5818449031335599E-3</v>
          </cell>
          <cell r="E121">
            <v>1477307.13289771</v>
          </cell>
          <cell r="F121">
            <v>1242427.0819360099</v>
          </cell>
          <cell r="G121">
            <v>1359867.1074168598</v>
          </cell>
        </row>
        <row r="122">
          <cell r="A122" t="str">
            <v>RINC</v>
          </cell>
          <cell r="B122">
            <v>4.6046835142941004E-3</v>
          </cell>
          <cell r="E122">
            <v>3833130.8707325701</v>
          </cell>
          <cell r="F122">
            <v>3867812.8849506001</v>
          </cell>
          <cell r="G122">
            <v>3850471.8778415853</v>
          </cell>
        </row>
        <row r="123">
          <cell r="A123" t="str">
            <v>ROBO</v>
          </cell>
          <cell r="B123">
            <v>2.2790548728426198E-3</v>
          </cell>
          <cell r="E123">
            <v>362133.28605784301</v>
          </cell>
          <cell r="F123">
            <v>550100.96303230803</v>
          </cell>
          <cell r="G123">
            <v>456117.12454507552</v>
          </cell>
        </row>
        <row r="124">
          <cell r="A124" t="str">
            <v>RSM</v>
          </cell>
          <cell r="B124">
            <v>2.3568735347628601E-3</v>
          </cell>
          <cell r="E124">
            <v>1413826.99191531</v>
          </cell>
          <cell r="F124">
            <v>1159939.33666496</v>
          </cell>
          <cell r="G124">
            <v>1286883.164290135</v>
          </cell>
        </row>
        <row r="125">
          <cell r="A125" t="str">
            <v>SFY</v>
          </cell>
          <cell r="B125">
            <v>5.9965048810781097E-4</v>
          </cell>
          <cell r="E125">
            <v>2547263.3106046198</v>
          </cell>
          <cell r="F125">
            <v>3248593.1255002301</v>
          </cell>
          <cell r="G125">
            <v>2897928.218052425</v>
          </cell>
        </row>
        <row r="126">
          <cell r="A126" t="str">
            <v>SLF</v>
          </cell>
          <cell r="B126">
            <v>1.45553090884171E-3</v>
          </cell>
          <cell r="E126">
            <v>2337585.8241676898</v>
          </cell>
          <cell r="F126">
            <v>1505650.7272024699</v>
          </cell>
          <cell r="G126">
            <v>1921618.2756850799</v>
          </cell>
        </row>
        <row r="127">
          <cell r="A127" t="str">
            <v>SMLL</v>
          </cell>
          <cell r="B127">
            <v>4.77691499963258E-3</v>
          </cell>
          <cell r="E127">
            <v>1036505.91405229</v>
          </cell>
          <cell r="F127">
            <v>1050484.60905372</v>
          </cell>
          <cell r="G127">
            <v>1043495.2615530051</v>
          </cell>
        </row>
        <row r="128">
          <cell r="A128" t="str">
            <v>SPY</v>
          </cell>
          <cell r="B128">
            <v>1.90220668368815E-3</v>
          </cell>
          <cell r="E128">
            <v>870250.45312162</v>
          </cell>
          <cell r="F128">
            <v>504154.16639456799</v>
          </cell>
          <cell r="G128">
            <v>687202.30975809402</v>
          </cell>
        </row>
        <row r="129">
          <cell r="A129" t="str">
            <v>SSO</v>
          </cell>
          <cell r="B129">
            <v>2.0100358883896399E-3</v>
          </cell>
          <cell r="E129">
            <v>313858.87452980998</v>
          </cell>
          <cell r="F129">
            <v>453548.58181799098</v>
          </cell>
          <cell r="G129">
            <v>383703.72817390051</v>
          </cell>
        </row>
        <row r="130">
          <cell r="A130" t="str">
            <v>STW</v>
          </cell>
          <cell r="B130">
            <v>4.3316270024058601E-4</v>
          </cell>
          <cell r="E130">
            <v>1672058.4375937399</v>
          </cell>
          <cell r="F130">
            <v>1481645.65855906</v>
          </cell>
          <cell r="G130">
            <v>1576852.0480764001</v>
          </cell>
        </row>
        <row r="131">
          <cell r="A131" t="str">
            <v>SWTZ</v>
          </cell>
          <cell r="B131">
            <v>5.7505315299309799E-3</v>
          </cell>
          <cell r="E131">
            <v>663265.40941021196</v>
          </cell>
          <cell r="F131">
            <v>977098.93365084298</v>
          </cell>
          <cell r="G131">
            <v>820182.17153052753</v>
          </cell>
        </row>
        <row r="132">
          <cell r="A132" t="str">
            <v>SYI</v>
          </cell>
          <cell r="B132">
            <v>1.0361419262824899E-3</v>
          </cell>
          <cell r="E132">
            <v>2212983.0840483801</v>
          </cell>
          <cell r="F132">
            <v>1737511.2665107199</v>
          </cell>
          <cell r="G132">
            <v>1975247.17527955</v>
          </cell>
        </row>
        <row r="133">
          <cell r="A133" t="str">
            <v>TECH</v>
          </cell>
          <cell r="B133">
            <v>1.87195518440088E-3</v>
          </cell>
          <cell r="E133">
            <v>630496.70377883897</v>
          </cell>
          <cell r="F133">
            <v>1609733.0719639901</v>
          </cell>
          <cell r="G133">
            <v>1120114.8878714144</v>
          </cell>
        </row>
        <row r="134">
          <cell r="A134" t="str">
            <v>UBA</v>
          </cell>
          <cell r="B134">
            <v>1.2572301309418802E-3</v>
          </cell>
          <cell r="E134">
            <v>848007.970293905</v>
          </cell>
          <cell r="F134">
            <v>444996.96284004598</v>
          </cell>
          <cell r="G134">
            <v>646502.46656697546</v>
          </cell>
        </row>
        <row r="135">
          <cell r="A135" t="str">
            <v>UBE</v>
          </cell>
          <cell r="B135">
            <v>3.3539905225471399E-3</v>
          </cell>
          <cell r="E135">
            <v>99116.628181489199</v>
          </cell>
          <cell r="F135">
            <v>335296.79965935397</v>
          </cell>
          <cell r="G135">
            <v>217206.71392042158</v>
          </cell>
        </row>
        <row r="136">
          <cell r="A136" t="str">
            <v>UBJ</v>
          </cell>
          <cell r="B136">
            <v>2.2189541070784199E-3</v>
          </cell>
          <cell r="E136">
            <v>74569.113463211499</v>
          </cell>
          <cell r="F136">
            <v>366029.049580444</v>
          </cell>
          <cell r="G136">
            <v>220299.08152182776</v>
          </cell>
        </row>
        <row r="137">
          <cell r="A137" t="str">
            <v>UBP</v>
          </cell>
          <cell r="B137">
            <v>2.7826981868111201E-3</v>
          </cell>
          <cell r="E137">
            <v>337258.01326152403</v>
          </cell>
          <cell r="F137">
            <v>810695.18525083503</v>
          </cell>
          <cell r="G137">
            <v>573976.59925617953</v>
          </cell>
        </row>
        <row r="138">
          <cell r="A138" t="str">
            <v>UBU</v>
          </cell>
          <cell r="B138">
            <v>2.0671729956895702E-3</v>
          </cell>
          <cell r="E138">
            <v>166635.290079781</v>
          </cell>
          <cell r="F138">
            <v>274274.99865543999</v>
          </cell>
          <cell r="G138">
            <v>220455.14436761051</v>
          </cell>
        </row>
        <row r="139">
          <cell r="A139" t="str">
            <v>UBW</v>
          </cell>
          <cell r="B139">
            <v>2.5722829740606303E-3</v>
          </cell>
          <cell r="E139">
            <v>237323.99020299199</v>
          </cell>
          <cell r="F139">
            <v>380785.69285873597</v>
          </cell>
          <cell r="G139">
            <v>309054.84153086401</v>
          </cell>
        </row>
        <row r="140">
          <cell r="A140" t="str">
            <v>UMAX</v>
          </cell>
          <cell r="B140">
            <v>1.7349318122913298E-3</v>
          </cell>
          <cell r="E140">
            <v>420817.73760556802</v>
          </cell>
          <cell r="F140">
            <v>841793.73488406604</v>
          </cell>
          <cell r="G140">
            <v>631305.73624481703</v>
          </cell>
        </row>
        <row r="141">
          <cell r="A141" t="str">
            <v>USD</v>
          </cell>
          <cell r="B141">
            <v>9.5496309884336803E-4</v>
          </cell>
          <cell r="E141">
            <v>3510695.2033066298</v>
          </cell>
          <cell r="F141">
            <v>3284560.6525636399</v>
          </cell>
          <cell r="G141">
            <v>3397627.9279351346</v>
          </cell>
        </row>
        <row r="142">
          <cell r="A142" t="str">
            <v>VACF</v>
          </cell>
          <cell r="B142">
            <v>2.12954985347039E-3</v>
          </cell>
          <cell r="E142">
            <v>1806751.7535152801</v>
          </cell>
          <cell r="F142">
            <v>1479350.5104024899</v>
          </cell>
          <cell r="G142">
            <v>1643051.1319588851</v>
          </cell>
        </row>
        <row r="143">
          <cell r="A143" t="str">
            <v>VAE</v>
          </cell>
          <cell r="B143">
            <v>2.0524920541382598E-3</v>
          </cell>
          <cell r="E143">
            <v>516744.98520434601</v>
          </cell>
          <cell r="F143">
            <v>525026.52050442004</v>
          </cell>
          <cell r="G143">
            <v>520885.75285438303</v>
          </cell>
        </row>
        <row r="144">
          <cell r="A144" t="str">
            <v>VAF</v>
          </cell>
          <cell r="B144">
            <v>5.6290464622159005E-4</v>
          </cell>
          <cell r="E144">
            <v>2860266.7874628198</v>
          </cell>
          <cell r="F144">
            <v>2817764.7234053998</v>
          </cell>
          <cell r="G144">
            <v>2839015.7554341098</v>
          </cell>
        </row>
        <row r="145">
          <cell r="A145" t="str">
            <v>VAP</v>
          </cell>
          <cell r="B145">
            <v>8.5637086862332601E-4</v>
          </cell>
          <cell r="E145">
            <v>836003.90267600899</v>
          </cell>
          <cell r="F145">
            <v>1437910.53209465</v>
          </cell>
          <cell r="G145">
            <v>1136957.2173853295</v>
          </cell>
        </row>
        <row r="146">
          <cell r="A146" t="str">
            <v>VAS</v>
          </cell>
          <cell r="B146">
            <v>3.79943381475681E-4</v>
          </cell>
          <cell r="E146">
            <v>3538183.3101697401</v>
          </cell>
          <cell r="F146">
            <v>3384287.83148504</v>
          </cell>
          <cell r="G146">
            <v>3461235.5708273901</v>
          </cell>
        </row>
        <row r="147">
          <cell r="A147" t="str">
            <v>VBND</v>
          </cell>
          <cell r="B147">
            <v>3.4073960625547301E-3</v>
          </cell>
          <cell r="E147">
            <v>961207.68123092002</v>
          </cell>
          <cell r="F147">
            <v>1013740.12260872</v>
          </cell>
          <cell r="G147">
            <v>987473.90191982</v>
          </cell>
        </row>
        <row r="148">
          <cell r="A148" t="str">
            <v>VCF</v>
          </cell>
          <cell r="B148">
            <v>2.7929718882480198E-3</v>
          </cell>
          <cell r="E148">
            <v>815599.09532322502</v>
          </cell>
          <cell r="F148">
            <v>940684.44355834601</v>
          </cell>
          <cell r="G148">
            <v>878141.76944078552</v>
          </cell>
        </row>
        <row r="149">
          <cell r="A149" t="str">
            <v>VDBA</v>
          </cell>
          <cell r="B149">
            <v>2.1278051378539999E-3</v>
          </cell>
          <cell r="E149">
            <v>712123.872412864</v>
          </cell>
          <cell r="F149">
            <v>528704.502094756</v>
          </cell>
          <cell r="G149">
            <v>620414.18725381</v>
          </cell>
        </row>
        <row r="150">
          <cell r="A150" t="str">
            <v>VDCO</v>
          </cell>
          <cell r="B150">
            <v>2.62641770722283E-3</v>
          </cell>
          <cell r="E150">
            <v>595228.13018695905</v>
          </cell>
          <cell r="F150">
            <v>534177.48162821506</v>
          </cell>
          <cell r="G150">
            <v>564702.80590758706</v>
          </cell>
        </row>
        <row r="151">
          <cell r="A151" t="str">
            <v>VDGR</v>
          </cell>
          <cell r="B151">
            <v>1.85435439003665E-3</v>
          </cell>
          <cell r="E151">
            <v>609485.77750443004</v>
          </cell>
          <cell r="F151">
            <v>545181.86850688094</v>
          </cell>
          <cell r="G151">
            <v>577333.82300565555</v>
          </cell>
        </row>
        <row r="152">
          <cell r="A152" t="str">
            <v>VDHG</v>
          </cell>
          <cell r="B152">
            <v>1.81951399504515E-3</v>
          </cell>
          <cell r="E152">
            <v>605559.84135329502</v>
          </cell>
          <cell r="F152">
            <v>587097.43809173303</v>
          </cell>
          <cell r="G152">
            <v>596328.63972251397</v>
          </cell>
        </row>
        <row r="153">
          <cell r="A153" t="str">
            <v>VEQ</v>
          </cell>
          <cell r="B153">
            <v>1.2685489426568E-3</v>
          </cell>
          <cell r="E153">
            <v>423857.56776993198</v>
          </cell>
          <cell r="F153">
            <v>501013.74429967703</v>
          </cell>
          <cell r="G153">
            <v>462435.65603480453</v>
          </cell>
        </row>
        <row r="154">
          <cell r="A154" t="str">
            <v>VEU</v>
          </cell>
          <cell r="B154">
            <v>1.0876856058428901E-3</v>
          </cell>
          <cell r="E154">
            <v>961766.25698143605</v>
          </cell>
          <cell r="F154">
            <v>676390.14858605503</v>
          </cell>
          <cell r="G154">
            <v>819078.20278374548</v>
          </cell>
        </row>
        <row r="155">
          <cell r="A155" t="str">
            <v>VGAD</v>
          </cell>
          <cell r="B155">
            <v>8.4361603273984702E-4</v>
          </cell>
          <cell r="E155">
            <v>660872.277633277</v>
          </cell>
          <cell r="F155">
            <v>781766.417357206</v>
          </cell>
          <cell r="G155">
            <v>721319.34749524156</v>
          </cell>
        </row>
        <row r="156">
          <cell r="A156" t="str">
            <v>VGB</v>
          </cell>
          <cell r="B156">
            <v>9.09027719507325E-4</v>
          </cell>
          <cell r="E156">
            <v>2042307.1231142201</v>
          </cell>
          <cell r="F156">
            <v>2111875.83248528</v>
          </cell>
          <cell r="G156">
            <v>2077091.4777997499</v>
          </cell>
        </row>
        <row r="157">
          <cell r="A157" t="str">
            <v>VGE</v>
          </cell>
          <cell r="B157">
            <v>1.8892657203525001E-3</v>
          </cell>
          <cell r="E157">
            <v>368316.81645326602</v>
          </cell>
          <cell r="F157">
            <v>378310.48653933301</v>
          </cell>
          <cell r="G157">
            <v>373313.65149629954</v>
          </cell>
        </row>
        <row r="158">
          <cell r="A158" t="str">
            <v>VGS</v>
          </cell>
          <cell r="B158">
            <v>6.8839679688233396E-4</v>
          </cell>
          <cell r="E158">
            <v>1074800.0104366899</v>
          </cell>
          <cell r="F158">
            <v>1190532.37924308</v>
          </cell>
          <cell r="G158">
            <v>1132666.194839885</v>
          </cell>
        </row>
        <row r="159">
          <cell r="A159" t="str">
            <v>VHY</v>
          </cell>
          <cell r="B159">
            <v>5.3990546708616502E-4</v>
          </cell>
          <cell r="E159">
            <v>1411229.9815313199</v>
          </cell>
          <cell r="F159">
            <v>2060558.43480543</v>
          </cell>
          <cell r="G159">
            <v>1735894.2081683748</v>
          </cell>
        </row>
        <row r="160">
          <cell r="A160" t="str">
            <v>VIF</v>
          </cell>
          <cell r="B160">
            <v>2.4300971846701398E-3</v>
          </cell>
          <cell r="E160">
            <v>1014334.91334371</v>
          </cell>
          <cell r="F160">
            <v>1185771.9970382301</v>
          </cell>
          <cell r="G160">
            <v>1100053.4551909701</v>
          </cell>
        </row>
        <row r="161">
          <cell r="A161" t="str">
            <v>VLC</v>
          </cell>
          <cell r="B161">
            <v>8.060262404422509E-4</v>
          </cell>
          <cell r="E161">
            <v>1831555.1940287401</v>
          </cell>
          <cell r="F161">
            <v>1786604.2359292</v>
          </cell>
          <cell r="G161">
            <v>1809079.7149789701</v>
          </cell>
        </row>
        <row r="162">
          <cell r="A162" t="str">
            <v>VMIN</v>
          </cell>
          <cell r="B162">
            <v>3.4648211516164302E-3</v>
          </cell>
          <cell r="E162">
            <v>557051.77194951102</v>
          </cell>
          <cell r="F162">
            <v>544512.903007371</v>
          </cell>
          <cell r="G162">
            <v>550782.33747844095</v>
          </cell>
        </row>
        <row r="163">
          <cell r="A163" t="str">
            <v>VSO</v>
          </cell>
          <cell r="B163">
            <v>1.0918310220610101E-3</v>
          </cell>
          <cell r="E163">
            <v>1298898.8429691601</v>
          </cell>
          <cell r="F163">
            <v>1596995.95542161</v>
          </cell>
          <cell r="G163">
            <v>1447947.3991953852</v>
          </cell>
        </row>
        <row r="164">
          <cell r="A164" t="str">
            <v>VTS</v>
          </cell>
          <cell r="B164">
            <v>7.1692714075819895E-4</v>
          </cell>
          <cell r="E164">
            <v>997760.12619154295</v>
          </cell>
          <cell r="F164">
            <v>923442.14663184003</v>
          </cell>
          <cell r="G164">
            <v>960601.13641169155</v>
          </cell>
        </row>
        <row r="165">
          <cell r="A165" t="str">
            <v>VVLU</v>
          </cell>
          <cell r="B165">
            <v>5.0065643895903702E-3</v>
          </cell>
          <cell r="E165">
            <v>592176.67042940902</v>
          </cell>
          <cell r="F165">
            <v>543409.69064447796</v>
          </cell>
          <cell r="G165">
            <v>567793.18053694349</v>
          </cell>
        </row>
        <row r="166">
          <cell r="A166" t="str">
            <v>WDIV</v>
          </cell>
          <cell r="B166">
            <v>1.8485172253773399E-3</v>
          </cell>
          <cell r="E166">
            <v>727054.34727607004</v>
          </cell>
          <cell r="F166">
            <v>683692.73207488097</v>
          </cell>
          <cell r="G166">
            <v>705373.53967547556</v>
          </cell>
        </row>
        <row r="167">
          <cell r="A167" t="str">
            <v>WDMF</v>
          </cell>
          <cell r="B167">
            <v>2.9725002763959902E-3</v>
          </cell>
          <cell r="E167">
            <v>1457780.73724164</v>
          </cell>
          <cell r="F167">
            <v>1886403.9476264899</v>
          </cell>
          <cell r="G167">
            <v>1672092.342434065</v>
          </cell>
        </row>
        <row r="168">
          <cell r="A168" t="str">
            <v>WEMG</v>
          </cell>
          <cell r="B168">
            <v>2.4913781845701598E-3</v>
          </cell>
          <cell r="E168">
            <v>174196.344005761</v>
          </cell>
          <cell r="F168">
            <v>198972.24036276201</v>
          </cell>
          <cell r="G168">
            <v>186584.29218426149</v>
          </cell>
        </row>
        <row r="169">
          <cell r="A169" t="str">
            <v>WRLD</v>
          </cell>
          <cell r="B169">
            <v>2.74751492742262E-3</v>
          </cell>
          <cell r="E169">
            <v>1300814.27534181</v>
          </cell>
          <cell r="F169">
            <v>842252.14619019302</v>
          </cell>
          <cell r="G169">
            <v>1071533.2107660016</v>
          </cell>
        </row>
        <row r="170">
          <cell r="A170" t="str">
            <v>WVOL</v>
          </cell>
          <cell r="B170">
            <v>5.4568967561364505E-3</v>
          </cell>
          <cell r="E170">
            <v>1438693.94770347</v>
          </cell>
          <cell r="F170">
            <v>109635.422907956</v>
          </cell>
          <cell r="G170">
            <v>774164.68530571298</v>
          </cell>
        </row>
        <row r="171">
          <cell r="A171" t="str">
            <v>WXHG</v>
          </cell>
          <cell r="B171">
            <v>2.0068944333451102E-3</v>
          </cell>
          <cell r="E171">
            <v>344723.80698632298</v>
          </cell>
          <cell r="F171">
            <v>684935.39427673805</v>
          </cell>
          <cell r="G171">
            <v>514829.60063153051</v>
          </cell>
        </row>
        <row r="172">
          <cell r="A172" t="str">
            <v>WXOZ</v>
          </cell>
          <cell r="B172">
            <v>1.69703572423149E-3</v>
          </cell>
          <cell r="E172">
            <v>341452.65241203603</v>
          </cell>
          <cell r="F172">
            <v>992958.03341445804</v>
          </cell>
          <cell r="G172">
            <v>667205.34291324706</v>
          </cell>
        </row>
        <row r="173">
          <cell r="A173" t="str">
            <v>YANK</v>
          </cell>
          <cell r="B173">
            <v>2.11002797815984E-3</v>
          </cell>
          <cell r="E173">
            <v>648118.14130805095</v>
          </cell>
          <cell r="F173">
            <v>601451.11519892304</v>
          </cell>
          <cell r="G173">
            <v>624784.62825348694</v>
          </cell>
        </row>
        <row r="174">
          <cell r="A174" t="str">
            <v>YMAX</v>
          </cell>
          <cell r="B174">
            <v>1.6907009060993699E-3</v>
          </cell>
          <cell r="E174">
            <v>1167923.2411555599</v>
          </cell>
          <cell r="F174">
            <v>1065127.3782353001</v>
          </cell>
          <cell r="G174">
            <v>1116525.3096954301</v>
          </cell>
        </row>
        <row r="175">
          <cell r="A175" t="str">
            <v>YTMAGL</v>
          </cell>
          <cell r="B175">
            <v>2.1676379552199097E-3</v>
          </cell>
          <cell r="E175">
            <v>195453.68960000001</v>
          </cell>
          <cell r="F175">
            <v>121768.14583333299</v>
          </cell>
          <cell r="G175">
            <v>158610.9177166665</v>
          </cell>
        </row>
        <row r="176">
          <cell r="A176" t="str">
            <v>YTMANZ</v>
          </cell>
          <cell r="B176">
            <v>2.4186807008091901E-3</v>
          </cell>
          <cell r="E176">
            <v>51764.8944999999</v>
          </cell>
          <cell r="F176">
            <v>51070</v>
          </cell>
          <cell r="G176">
            <v>51417.447249999954</v>
          </cell>
        </row>
        <row r="177">
          <cell r="A177" t="str">
            <v>YTMAP1</v>
          </cell>
          <cell r="B177">
            <v>4.47542687180634E-3</v>
          </cell>
          <cell r="E177">
            <v>71850.946499999904</v>
          </cell>
          <cell r="F177">
            <v>14340.287249999999</v>
          </cell>
          <cell r="G177">
            <v>43095.616874999949</v>
          </cell>
        </row>
        <row r="178">
          <cell r="A178" t="str">
            <v>YTMAPA</v>
          </cell>
          <cell r="B178">
            <v>2.1858163212226402E-3</v>
          </cell>
          <cell r="E178">
            <v>71125.970249999998</v>
          </cell>
          <cell r="F178">
            <v>68088</v>
          </cell>
          <cell r="G178">
            <v>69606.985125000007</v>
          </cell>
        </row>
        <row r="179">
          <cell r="A179" t="str">
            <v>YTMAST</v>
          </cell>
          <cell r="B179">
            <v>2.8502837313721502E-3</v>
          </cell>
          <cell r="E179">
            <v>211808.16508333301</v>
          </cell>
          <cell r="F179">
            <v>180869.73041666599</v>
          </cell>
          <cell r="G179">
            <v>196338.9477499995</v>
          </cell>
        </row>
        <row r="180">
          <cell r="A180" t="str">
            <v>YTMAWC</v>
          </cell>
          <cell r="B180">
            <v>2.3060973482355602E-3</v>
          </cell>
          <cell r="E180">
            <v>164604.24791666601</v>
          </cell>
          <cell r="F180">
            <v>152507.36779166601</v>
          </cell>
          <cell r="G180">
            <v>158555.80785416602</v>
          </cell>
        </row>
        <row r="181">
          <cell r="A181" t="str">
            <v>YTMAZJ</v>
          </cell>
          <cell r="B181">
            <v>4.73244855743612E-3</v>
          </cell>
          <cell r="E181">
            <v>216076.75674712801</v>
          </cell>
          <cell r="F181">
            <v>219951.73154119801</v>
          </cell>
          <cell r="G181">
            <v>218014.24414416301</v>
          </cell>
        </row>
        <row r="182">
          <cell r="A182" t="str">
            <v>YTMBH1</v>
          </cell>
          <cell r="B182">
            <v>2.42689121449018E-3</v>
          </cell>
          <cell r="E182">
            <v>62013.691999999901</v>
          </cell>
          <cell r="F182">
            <v>61097.504000000001</v>
          </cell>
          <cell r="G182">
            <v>61555.597999999954</v>
          </cell>
        </row>
        <row r="183">
          <cell r="A183" t="str">
            <v>YTMCCA</v>
          </cell>
          <cell r="B183">
            <v>2.4287177246484003E-3</v>
          </cell>
          <cell r="E183">
            <v>20459.14</v>
          </cell>
          <cell r="F183">
            <v>20612</v>
          </cell>
          <cell r="G183">
            <v>20535.57</v>
          </cell>
        </row>
        <row r="184">
          <cell r="A184" t="str">
            <v>YTMCTX</v>
          </cell>
          <cell r="B184">
            <v>2.4369723792462199E-3</v>
          </cell>
          <cell r="E184">
            <v>60871.480499999903</v>
          </cell>
          <cell r="F184">
            <v>28050.527249999901</v>
          </cell>
          <cell r="G184">
            <v>44461.0038749999</v>
          </cell>
        </row>
        <row r="185">
          <cell r="A185" t="str">
            <v>YTMDO1</v>
          </cell>
          <cell r="B185">
            <v>2.48472324621933E-3</v>
          </cell>
          <cell r="E185">
            <v>212431.414584126</v>
          </cell>
          <cell r="F185">
            <v>170132.97833333301</v>
          </cell>
          <cell r="G185">
            <v>191282.19645872951</v>
          </cell>
        </row>
        <row r="186">
          <cell r="A186" t="str">
            <v>YTMDOW</v>
          </cell>
          <cell r="B186">
            <v>2.4675516952080102E-3</v>
          </cell>
          <cell r="E186">
            <v>10119</v>
          </cell>
          <cell r="F186">
            <v>10144</v>
          </cell>
          <cell r="G186">
            <v>10131.5</v>
          </cell>
        </row>
        <row r="187">
          <cell r="A187" t="str">
            <v>YTMDX1</v>
          </cell>
          <cell r="B187">
            <v>4.1824127556569501E-3</v>
          </cell>
          <cell r="E187">
            <v>152460.896749999</v>
          </cell>
          <cell r="F187">
            <v>121097.315083333</v>
          </cell>
          <cell r="G187">
            <v>136779.10591666598</v>
          </cell>
        </row>
        <row r="188">
          <cell r="A188" t="str">
            <v>YTMDXS</v>
          </cell>
          <cell r="B188">
            <v>2.4324194735431902E-3</v>
          </cell>
          <cell r="E188">
            <v>203936.45605054701</v>
          </cell>
          <cell r="F188">
            <v>102925</v>
          </cell>
          <cell r="G188">
            <v>153430.72802527351</v>
          </cell>
        </row>
        <row r="189">
          <cell r="A189" t="str">
            <v>YTMF04</v>
          </cell>
          <cell r="B189">
            <v>9.9388771158082892E-4</v>
          </cell>
          <cell r="E189">
            <v>167614.97</v>
          </cell>
          <cell r="F189">
            <v>42178.6349999999</v>
          </cell>
          <cell r="G189">
            <v>104896.80249999995</v>
          </cell>
        </row>
        <row r="190">
          <cell r="A190" t="str">
            <v>YTMF05</v>
          </cell>
          <cell r="B190">
            <v>9.9201439484701906E-4</v>
          </cell>
          <cell r="E190">
            <v>566739.96149999998</v>
          </cell>
          <cell r="F190">
            <v>79323.902499999997</v>
          </cell>
          <cell r="G190">
            <v>323031.93199999997</v>
          </cell>
        </row>
        <row r="191">
          <cell r="A191" t="str">
            <v>YTMF06</v>
          </cell>
          <cell r="B191">
            <v>9.4867129890642196E-4</v>
          </cell>
          <cell r="E191">
            <v>1396267.09183333</v>
          </cell>
          <cell r="F191">
            <v>234212.42762499899</v>
          </cell>
          <cell r="G191">
            <v>815239.75972916454</v>
          </cell>
        </row>
        <row r="192">
          <cell r="A192" t="str">
            <v>YTMF07</v>
          </cell>
          <cell r="B192">
            <v>8.6211258664504803E-4</v>
          </cell>
          <cell r="E192">
            <v>365265.31666666601</v>
          </cell>
          <cell r="F192">
            <v>34831.9206666666</v>
          </cell>
          <cell r="G192">
            <v>200048.6186666663</v>
          </cell>
        </row>
        <row r="193">
          <cell r="A193" t="str">
            <v>YTMF08</v>
          </cell>
          <cell r="B193">
            <v>8.0224334272718605E-4</v>
          </cell>
          <cell r="E193">
            <v>1531561.65332196</v>
          </cell>
          <cell r="F193">
            <v>195078.46293333301</v>
          </cell>
          <cell r="G193">
            <v>863320.05812764657</v>
          </cell>
        </row>
        <row r="194">
          <cell r="A194" t="str">
            <v>YTMF09</v>
          </cell>
          <cell r="B194">
            <v>9.0369230996498596E-4</v>
          </cell>
          <cell r="E194">
            <v>1887718.73163333</v>
          </cell>
          <cell r="F194">
            <v>222321.45089924199</v>
          </cell>
          <cell r="G194">
            <v>1055020.0912662861</v>
          </cell>
        </row>
        <row r="195">
          <cell r="A195" t="str">
            <v>YTMF10</v>
          </cell>
          <cell r="B195">
            <v>8.6644890380762609E-4</v>
          </cell>
          <cell r="E195">
            <v>562848.22953333298</v>
          </cell>
          <cell r="F195">
            <v>42557.911399999997</v>
          </cell>
          <cell r="G195">
            <v>302703.07046666648</v>
          </cell>
        </row>
        <row r="196">
          <cell r="A196" t="str">
            <v>YTMF11</v>
          </cell>
          <cell r="B196">
            <v>9.8475045091466905E-4</v>
          </cell>
          <cell r="E196">
            <v>785938.95476666605</v>
          </cell>
          <cell r="F196">
            <v>195630.60649999999</v>
          </cell>
          <cell r="G196">
            <v>490784.78063333302</v>
          </cell>
        </row>
        <row r="197">
          <cell r="A197" t="str">
            <v>YTMGP1</v>
          </cell>
          <cell r="B197">
            <v>4.5176128009025698E-3</v>
          </cell>
          <cell r="E197">
            <v>162127.28474999999</v>
          </cell>
          <cell r="F197">
            <v>121937.813041666</v>
          </cell>
          <cell r="G197">
            <v>142032.548895833</v>
          </cell>
        </row>
        <row r="198">
          <cell r="A198" t="str">
            <v>YTMGPT</v>
          </cell>
          <cell r="B198">
            <v>2.3573787260073998E-3</v>
          </cell>
          <cell r="E198">
            <v>422626.13775223203</v>
          </cell>
          <cell r="F198">
            <v>212361</v>
          </cell>
          <cell r="G198">
            <v>317493.56887611601</v>
          </cell>
        </row>
        <row r="199">
          <cell r="A199" t="str">
            <v>YTMIPL</v>
          </cell>
          <cell r="B199">
            <v>2.3881628745832002E-3</v>
          </cell>
          <cell r="E199">
            <v>410019.24023169797</v>
          </cell>
          <cell r="F199">
            <v>209514.442106831</v>
          </cell>
          <cell r="G199">
            <v>309766.84116926452</v>
          </cell>
        </row>
        <row r="200">
          <cell r="A200" t="str">
            <v>YTMLL1</v>
          </cell>
          <cell r="B200">
            <v>4.3812665632721095E-3</v>
          </cell>
          <cell r="E200">
            <v>220406.50427618</v>
          </cell>
          <cell r="F200">
            <v>217127.951414329</v>
          </cell>
          <cell r="G200">
            <v>218767.2278452545</v>
          </cell>
        </row>
        <row r="201">
          <cell r="A201" t="str">
            <v>YTMLLC</v>
          </cell>
          <cell r="B201">
            <v>3.4089275612819497E-3</v>
          </cell>
          <cell r="E201">
            <v>203973.85013995899</v>
          </cell>
          <cell r="F201">
            <v>259716.93977899899</v>
          </cell>
          <cell r="G201">
            <v>231845.39495947899</v>
          </cell>
        </row>
        <row r="202">
          <cell r="A202" t="str">
            <v>YTMMG2</v>
          </cell>
          <cell r="B202">
            <v>3.7088639290067597E-3</v>
          </cell>
          <cell r="E202">
            <v>187655.107067857</v>
          </cell>
          <cell r="F202">
            <v>90104.5373833333</v>
          </cell>
          <cell r="G202">
            <v>138879.82222559516</v>
          </cell>
        </row>
        <row r="203">
          <cell r="A203" t="str">
            <v>YTMMGR</v>
          </cell>
          <cell r="B203">
            <v>5.7053049818641902E-3</v>
          </cell>
          <cell r="E203">
            <v>216661.92367199299</v>
          </cell>
          <cell r="F203">
            <v>217686.137012814</v>
          </cell>
          <cell r="G203">
            <v>217174.03034240351</v>
          </cell>
        </row>
        <row r="204">
          <cell r="A204" t="str">
            <v>YTMMQG</v>
          </cell>
          <cell r="B204">
            <v>2.4379540689453399E-3</v>
          </cell>
          <cell r="E204">
            <v>10242</v>
          </cell>
          <cell r="F204">
            <v>9240.2999999999993</v>
          </cell>
          <cell r="G204">
            <v>9741.15</v>
          </cell>
        </row>
        <row r="205">
          <cell r="A205" t="str">
            <v>YTMNA1</v>
          </cell>
          <cell r="B205">
            <v>3.0460265281267301E-3</v>
          </cell>
          <cell r="E205">
            <v>179274.50120833301</v>
          </cell>
          <cell r="F205">
            <v>19596.678999999898</v>
          </cell>
          <cell r="G205">
            <v>99435.590104166447</v>
          </cell>
        </row>
        <row r="206">
          <cell r="A206" t="str">
            <v>YTMNAB</v>
          </cell>
          <cell r="B206">
            <v>2.4436733297492699E-3</v>
          </cell>
          <cell r="E206">
            <v>10218</v>
          </cell>
          <cell r="F206">
            <v>9013.84</v>
          </cell>
          <cell r="G206">
            <v>9615.92</v>
          </cell>
        </row>
        <row r="207">
          <cell r="A207" t="str">
            <v>YTMNVN</v>
          </cell>
          <cell r="B207">
            <v>0</v>
          </cell>
          <cell r="E207">
            <v>422305.562422744</v>
          </cell>
          <cell r="F207">
            <v>212049.07292954199</v>
          </cell>
          <cell r="G207">
            <v>317177.31767614302</v>
          </cell>
        </row>
        <row r="208">
          <cell r="A208" t="str">
            <v>YTMQF1</v>
          </cell>
          <cell r="B208">
            <v>2.03958198650331E-3</v>
          </cell>
          <cell r="E208">
            <v>416439.663865546</v>
          </cell>
          <cell r="F208">
            <v>205396.33825209999</v>
          </cell>
          <cell r="G208">
            <v>310918.00105882296</v>
          </cell>
        </row>
        <row r="209">
          <cell r="A209" t="str">
            <v>YTMQF2</v>
          </cell>
          <cell r="B209">
            <v>2.3149591688280901E-3</v>
          </cell>
          <cell r="E209">
            <v>213817.65523953299</v>
          </cell>
          <cell r="F209">
            <v>219506.00242123401</v>
          </cell>
          <cell r="G209">
            <v>216661.82883038349</v>
          </cell>
        </row>
        <row r="210">
          <cell r="A210" t="str">
            <v>YTMQF3</v>
          </cell>
          <cell r="B210">
            <v>2.3752409397200199E-3</v>
          </cell>
          <cell r="E210">
            <v>204153.11049210699</v>
          </cell>
          <cell r="F210">
            <v>487180.27414113202</v>
          </cell>
          <cell r="G210">
            <v>345666.6923166195</v>
          </cell>
        </row>
        <row r="211">
          <cell r="A211" t="str">
            <v>YTMSCG</v>
          </cell>
          <cell r="B211">
            <v>3.53466093046946E-3</v>
          </cell>
          <cell r="E211">
            <v>204443.69533333299</v>
          </cell>
          <cell r="F211">
            <v>22685.667333333298</v>
          </cell>
          <cell r="G211">
            <v>113564.68133333314</v>
          </cell>
        </row>
        <row r="212">
          <cell r="A212" t="str">
            <v>YTMSG1</v>
          </cell>
          <cell r="B212">
            <v>5.3993546779200598E-3</v>
          </cell>
          <cell r="E212">
            <v>216086.89171416001</v>
          </cell>
          <cell r="F212">
            <v>217370.76720736499</v>
          </cell>
          <cell r="G212">
            <v>216728.8294607625</v>
          </cell>
        </row>
        <row r="213">
          <cell r="A213" t="str">
            <v>YTMSG2</v>
          </cell>
          <cell r="B213">
            <v>3.4704642274780602E-3</v>
          </cell>
          <cell r="E213">
            <v>222465.16499999899</v>
          </cell>
          <cell r="F213">
            <v>58411.078750000001</v>
          </cell>
          <cell r="G213">
            <v>140438.12187499949</v>
          </cell>
        </row>
        <row r="214">
          <cell r="A214" t="str">
            <v>YTMSGP</v>
          </cell>
          <cell r="B214">
            <v>6.0640175456866292E-3</v>
          </cell>
          <cell r="E214">
            <v>224401.83307692301</v>
          </cell>
          <cell r="F214">
            <v>199833.913076923</v>
          </cell>
          <cell r="G214">
            <v>212117.87307692302</v>
          </cell>
        </row>
        <row r="215">
          <cell r="A215" t="str">
            <v>YTMSYD</v>
          </cell>
          <cell r="B215">
            <v>2.2002104099371898E-3</v>
          </cell>
          <cell r="E215">
            <v>240076.407083333</v>
          </cell>
          <cell r="F215">
            <v>229734.18625</v>
          </cell>
          <cell r="G215">
            <v>234905.29666666652</v>
          </cell>
        </row>
        <row r="216">
          <cell r="A216" t="str">
            <v>YTMTCL</v>
          </cell>
          <cell r="B216">
            <v>0</v>
          </cell>
          <cell r="E216">
            <v>234650.764999999</v>
          </cell>
          <cell r="F216">
            <v>291424.44793103402</v>
          </cell>
          <cell r="G216">
            <v>263037.6064655165</v>
          </cell>
        </row>
        <row r="217">
          <cell r="A217" t="str">
            <v>YTMTL1</v>
          </cell>
          <cell r="B217">
            <v>3.59513969911485E-3</v>
          </cell>
          <cell r="E217">
            <v>207414.04447264501</v>
          </cell>
          <cell r="F217">
            <v>208148.279751833</v>
          </cell>
          <cell r="G217">
            <v>207781.16211223899</v>
          </cell>
        </row>
        <row r="218">
          <cell r="A218" t="str">
            <v>YTMTLS</v>
          </cell>
          <cell r="B218">
            <v>2.9684788010027803E-3</v>
          </cell>
          <cell r="E218">
            <v>230392.56017505401</v>
          </cell>
          <cell r="F218">
            <v>228196.03391247199</v>
          </cell>
          <cell r="G218">
            <v>229294.29704376298</v>
          </cell>
        </row>
        <row r="219">
          <cell r="A219" t="str">
            <v>YTMWB1</v>
          </cell>
          <cell r="B219">
            <v>2.39069635459806E-3</v>
          </cell>
          <cell r="E219">
            <v>254041.45599999899</v>
          </cell>
          <cell r="F219">
            <v>197486.48466666599</v>
          </cell>
          <cell r="G219">
            <v>225763.97033333249</v>
          </cell>
        </row>
        <row r="220">
          <cell r="A220" t="str">
            <v>YTMWBC</v>
          </cell>
          <cell r="B220">
            <v>2.4273022962279702E-3</v>
          </cell>
          <cell r="E220">
            <v>210673.04730472999</v>
          </cell>
          <cell r="F220">
            <v>211957.22772277199</v>
          </cell>
          <cell r="G220">
            <v>211315.13751375099</v>
          </cell>
        </row>
        <row r="221">
          <cell r="A221" t="str">
            <v>YTMWE1</v>
          </cell>
          <cell r="B221">
            <v>2.5308780594512597E-3</v>
          </cell>
          <cell r="E221">
            <v>206560</v>
          </cell>
          <cell r="F221">
            <v>192048.15</v>
          </cell>
          <cell r="G221">
            <v>199304.07500000001</v>
          </cell>
        </row>
        <row r="222">
          <cell r="A222" t="str">
            <v>YTMWES</v>
          </cell>
          <cell r="B222">
            <v>1.5191333641090398E-3</v>
          </cell>
          <cell r="E222">
            <v>235747.845</v>
          </cell>
          <cell r="F222">
            <v>106482.41</v>
          </cell>
          <cell r="G222">
            <v>171115.1275</v>
          </cell>
        </row>
        <row r="223">
          <cell r="A223" t="str">
            <v>YTMWOW</v>
          </cell>
          <cell r="B223">
            <v>3.0994495478774598E-3</v>
          </cell>
          <cell r="E223">
            <v>239334.90176470499</v>
          </cell>
          <cell r="F223">
            <v>211525.10647058801</v>
          </cell>
          <cell r="G223">
            <v>225430.00411764649</v>
          </cell>
        </row>
        <row r="224">
          <cell r="A224" t="str">
            <v>ZCNH</v>
          </cell>
          <cell r="B224">
            <v>2.99522552979936E-3</v>
          </cell>
          <cell r="E224">
            <v>229030.25925925901</v>
          </cell>
          <cell r="F224">
            <v>229740.527777777</v>
          </cell>
          <cell r="G224">
            <v>229385.39351851802</v>
          </cell>
        </row>
        <row r="225">
          <cell r="A225" t="str">
            <v>ZGOL</v>
          </cell>
          <cell r="B225">
            <v>9.2735941114495506E-3</v>
          </cell>
          <cell r="E225">
            <v>213641.01333333299</v>
          </cell>
          <cell r="F225">
            <v>141607.15111111099</v>
          </cell>
          <cell r="G225">
            <v>177624.082222222</v>
          </cell>
        </row>
        <row r="226">
          <cell r="A226" t="str">
            <v>ZOZI</v>
          </cell>
          <cell r="B226">
            <v>1.4304659263943799E-3</v>
          </cell>
          <cell r="E226">
            <v>210963.07418924899</v>
          </cell>
          <cell r="F226">
            <v>211510.92595290899</v>
          </cell>
          <cell r="G226">
            <v>211237.000071079</v>
          </cell>
        </row>
        <row r="227">
          <cell r="A227" t="str">
            <v>ZUSD</v>
          </cell>
          <cell r="B227">
            <v>2.06805502796454E-3</v>
          </cell>
          <cell r="E227">
            <v>209251.525235718</v>
          </cell>
          <cell r="F227">
            <v>209582.34054353801</v>
          </cell>
          <cell r="G227">
            <v>209416.93288962799</v>
          </cell>
        </row>
        <row r="228">
          <cell r="A228" t="str">
            <v>ZYAU</v>
          </cell>
          <cell r="B228">
            <v>1.4036963738928401E-3</v>
          </cell>
          <cell r="E228">
            <v>208190.490196078</v>
          </cell>
          <cell r="F228">
            <v>208838.32107843101</v>
          </cell>
          <cell r="G228">
            <v>208514.4056372545</v>
          </cell>
        </row>
        <row r="229">
          <cell r="A229" t="str">
            <v>ZYUS</v>
          </cell>
          <cell r="B229">
            <v>2.1757870139432101E-3</v>
          </cell>
          <cell r="E229">
            <v>197962.99045599101</v>
          </cell>
          <cell r="F229">
            <v>204216.98227541201</v>
          </cell>
          <cell r="G229">
            <v>201089.98636570151</v>
          </cell>
        </row>
      </sheetData>
      <sheetData sheetId="35"/>
      <sheetData sheetId="36">
        <row r="2">
          <cell r="A2" t="str">
            <v>ATT</v>
          </cell>
          <cell r="B2">
            <v>43280</v>
          </cell>
          <cell r="C2">
            <v>0</v>
          </cell>
          <cell r="D2">
            <v>-0.8478</v>
          </cell>
          <cell r="E2">
            <v>-0.75600000000000001</v>
          </cell>
          <cell r="F2">
            <v>-0.65269999999999995</v>
          </cell>
        </row>
        <row r="3">
          <cell r="A3" t="str">
            <v>TEK</v>
          </cell>
          <cell r="B3">
            <v>43280</v>
          </cell>
          <cell r="C3">
            <v>0</v>
          </cell>
          <cell r="D3">
            <v>0</v>
          </cell>
          <cell r="E3">
            <v>-0.74170000000000003</v>
          </cell>
          <cell r="F3">
            <v>-0.62939999999999996</v>
          </cell>
        </row>
        <row r="4">
          <cell r="A4" t="str">
            <v>RNY</v>
          </cell>
          <cell r="B4">
            <v>43280</v>
          </cell>
          <cell r="C4">
            <v>-0.44700000000000001</v>
          </cell>
          <cell r="D4">
            <v>-0.83409999999999995</v>
          </cell>
          <cell r="E4">
            <v>-0.74480000000000002</v>
          </cell>
          <cell r="F4">
            <v>-0.55479999999999996</v>
          </cell>
        </row>
        <row r="5">
          <cell r="A5" t="str">
            <v>AGJ</v>
          </cell>
          <cell r="B5">
            <v>43280</v>
          </cell>
          <cell r="C5">
            <v>-0.2727</v>
          </cell>
          <cell r="D5">
            <v>-0.27289999999999998</v>
          </cell>
          <cell r="E5">
            <v>-0.26919999999999999</v>
          </cell>
          <cell r="F5">
            <v>-0.246</v>
          </cell>
        </row>
        <row r="6">
          <cell r="A6" t="str">
            <v>OOO</v>
          </cell>
          <cell r="B6">
            <v>43280</v>
          </cell>
          <cell r="C6">
            <v>9.2899999999999996E-2</v>
          </cell>
          <cell r="D6">
            <v>0.58069999999999999</v>
          </cell>
          <cell r="E6">
            <v>-9.2999999999999999E-2</v>
          </cell>
          <cell r="F6">
            <v>-0.15409999999999999</v>
          </cell>
        </row>
        <row r="7">
          <cell r="A7" t="str">
            <v>AIB</v>
          </cell>
          <cell r="B7">
            <v>43280</v>
          </cell>
          <cell r="C7">
            <v>-7.1099999999999997E-2</v>
          </cell>
          <cell r="D7">
            <v>-0.60940000000000005</v>
          </cell>
          <cell r="E7">
            <v>-0.25009999999999999</v>
          </cell>
          <cell r="F7">
            <v>-0.14660000000000001</v>
          </cell>
        </row>
        <row r="8">
          <cell r="A8" t="str">
            <v>ABW</v>
          </cell>
          <cell r="B8">
            <v>43280</v>
          </cell>
          <cell r="C8">
            <v>-0.16750000000000001</v>
          </cell>
          <cell r="D8">
            <v>-1.5E-3</v>
          </cell>
          <cell r="E8">
            <v>-0.22559999999999999</v>
          </cell>
          <cell r="F8">
            <v>-0.14050000000000001</v>
          </cell>
        </row>
        <row r="9">
          <cell r="A9" t="str">
            <v>QAG</v>
          </cell>
          <cell r="B9">
            <v>43280</v>
          </cell>
          <cell r="C9">
            <v>-0.14199999999999999</v>
          </cell>
          <cell r="D9">
            <v>-0.13900000000000001</v>
          </cell>
          <cell r="E9">
            <v>-0.10730000000000001</v>
          </cell>
          <cell r="F9">
            <v>-0.1182</v>
          </cell>
        </row>
        <row r="10">
          <cell r="A10" t="str">
            <v>LSX</v>
          </cell>
          <cell r="B10">
            <v>43280</v>
          </cell>
          <cell r="C10">
            <v>-7.7100000000000002E-2</v>
          </cell>
          <cell r="D10">
            <v>-0.21060000000000001</v>
          </cell>
          <cell r="E10">
            <v>0.19650000000000001</v>
          </cell>
          <cell r="F10">
            <v>-0.10780000000000001</v>
          </cell>
        </row>
        <row r="11">
          <cell r="A11" t="str">
            <v>HHY</v>
          </cell>
          <cell r="B11">
            <v>43280</v>
          </cell>
          <cell r="C11">
            <v>6.1499999999999999E-2</v>
          </cell>
          <cell r="D11">
            <v>-0.31</v>
          </cell>
          <cell r="E11">
            <v>-0.1163</v>
          </cell>
          <cell r="F11">
            <v>-9.7299999999999998E-2</v>
          </cell>
        </row>
        <row r="12">
          <cell r="A12" t="str">
            <v>QCB</v>
          </cell>
          <cell r="B12">
            <v>43280</v>
          </cell>
          <cell r="C12">
            <v>-4.65E-2</v>
          </cell>
          <cell r="D12">
            <v>0.1002</v>
          </cell>
          <cell r="E12">
            <v>-4.8899999999999999E-2</v>
          </cell>
          <cell r="F12">
            <v>-7.9699999999999993E-2</v>
          </cell>
        </row>
        <row r="13">
          <cell r="A13" t="str">
            <v>BEAR</v>
          </cell>
          <cell r="B13">
            <v>43280</v>
          </cell>
          <cell r="C13">
            <v>-3.27E-2</v>
          </cell>
          <cell r="D13">
            <v>-9.8199999999999996E-2</v>
          </cell>
          <cell r="E13">
            <v>-7.9200000000000007E-2</v>
          </cell>
          <cell r="F13">
            <v>-7.8899999999999998E-2</v>
          </cell>
        </row>
        <row r="14">
          <cell r="A14" t="str">
            <v>AUP</v>
          </cell>
          <cell r="B14">
            <v>43280</v>
          </cell>
          <cell r="C14">
            <v>-0.2984</v>
          </cell>
          <cell r="D14">
            <v>-0.33960000000000001</v>
          </cell>
          <cell r="E14">
            <v>-0.1527</v>
          </cell>
          <cell r="F14">
            <v>-5.7299999999999997E-2</v>
          </cell>
        </row>
        <row r="15">
          <cell r="A15" t="str">
            <v>APZ</v>
          </cell>
          <cell r="B15">
            <v>43280</v>
          </cell>
          <cell r="C15">
            <v>3.3500000000000002E-2</v>
          </cell>
          <cell r="D15">
            <v>-5.2900000000000003E-2</v>
          </cell>
          <cell r="E15">
            <v>-4.1599999999999998E-2</v>
          </cell>
          <cell r="F15">
            <v>-4.9599999999999998E-2</v>
          </cell>
        </row>
        <row r="16">
          <cell r="A16" t="str">
            <v>ETPMPT</v>
          </cell>
          <cell r="B16">
            <v>43280</v>
          </cell>
          <cell r="C16">
            <v>-3.5999999999999997E-2</v>
          </cell>
          <cell r="D16">
            <v>-5.1200000000000002E-2</v>
          </cell>
          <cell r="E16">
            <v>-6.2199999999999998E-2</v>
          </cell>
          <cell r="F16">
            <v>-4.48E-2</v>
          </cell>
        </row>
        <row r="17">
          <cell r="A17" t="str">
            <v>AOD</v>
          </cell>
          <cell r="B17">
            <v>43280</v>
          </cell>
          <cell r="C17">
            <v>-7.2700000000000001E-2</v>
          </cell>
          <cell r="D17">
            <v>-0.14399999999999999</v>
          </cell>
          <cell r="E17">
            <v>-7.1999999999999995E-2</v>
          </cell>
          <cell r="F17">
            <v>-4.1300000000000003E-2</v>
          </cell>
        </row>
        <row r="18">
          <cell r="A18" t="str">
            <v>OEQ</v>
          </cell>
          <cell r="B18">
            <v>43280</v>
          </cell>
          <cell r="C18">
            <v>-3.0499999999999999E-2</v>
          </cell>
          <cell r="D18">
            <v>-8.5000000000000006E-3</v>
          </cell>
          <cell r="E18">
            <v>-7.0599999999999996E-2</v>
          </cell>
          <cell r="F18">
            <v>-2.3699999999999999E-2</v>
          </cell>
        </row>
        <row r="19">
          <cell r="A19" t="str">
            <v>ALF</v>
          </cell>
          <cell r="B19">
            <v>43280</v>
          </cell>
          <cell r="C19">
            <v>-4.7999999999999996E-3</v>
          </cell>
          <cell r="D19">
            <v>-0.1452</v>
          </cell>
          <cell r="E19">
            <v>-1.4800000000000001E-2</v>
          </cell>
          <cell r="F19">
            <v>-8.3000000000000001E-3</v>
          </cell>
        </row>
        <row r="20">
          <cell r="A20" t="str">
            <v>BEL</v>
          </cell>
          <cell r="B20">
            <v>43280</v>
          </cell>
          <cell r="C20">
            <v>-0.17380000000000001</v>
          </cell>
          <cell r="D20">
            <v>3.6299999999999999E-2</v>
          </cell>
          <cell r="E20">
            <v>-2.6200000000000001E-2</v>
          </cell>
          <cell r="F20">
            <v>-3.8E-3</v>
          </cell>
        </row>
        <row r="21">
          <cell r="A21" t="str">
            <v>LSF</v>
          </cell>
          <cell r="B21">
            <v>43280</v>
          </cell>
          <cell r="C21">
            <v>-7.8399999999999997E-2</v>
          </cell>
          <cell r="D21" t="str">
            <v>n/a</v>
          </cell>
          <cell r="E21" t="str">
            <v>n/a</v>
          </cell>
          <cell r="F21" t="str">
            <v>n/a</v>
          </cell>
        </row>
        <row r="22">
          <cell r="A22" t="str">
            <v>BHD</v>
          </cell>
          <cell r="B22">
            <v>43280</v>
          </cell>
          <cell r="C22">
            <v>-6.5799999999999997E-2</v>
          </cell>
          <cell r="D22">
            <v>-0.1903</v>
          </cell>
          <cell r="E22" t="str">
            <v>n/a</v>
          </cell>
          <cell r="F22" t="str">
            <v>n/a</v>
          </cell>
        </row>
        <row r="23">
          <cell r="A23" t="str">
            <v>BTI</v>
          </cell>
          <cell r="B23">
            <v>43280</v>
          </cell>
          <cell r="C23">
            <v>-5.7299999999999997E-2</v>
          </cell>
          <cell r="D23">
            <v>-0.1779</v>
          </cell>
          <cell r="E23">
            <v>-6.6600000000000006E-2</v>
          </cell>
          <cell r="F23" t="str">
            <v>n/a</v>
          </cell>
        </row>
        <row r="24">
          <cell r="A24" t="str">
            <v>BST</v>
          </cell>
          <cell r="B24">
            <v>43280</v>
          </cell>
          <cell r="C24">
            <v>7.0599999999999996E-2</v>
          </cell>
          <cell r="D24">
            <v>0.14810000000000001</v>
          </cell>
          <cell r="E24">
            <v>9.8799999999999999E-2</v>
          </cell>
          <cell r="F24" t="str">
            <v>n/a</v>
          </cell>
        </row>
        <row r="25">
          <cell r="A25" t="str">
            <v>RYD</v>
          </cell>
          <cell r="B25">
            <v>43280</v>
          </cell>
          <cell r="C25">
            <v>-8.0000000000000002E-3</v>
          </cell>
          <cell r="D25">
            <v>0.1777</v>
          </cell>
          <cell r="E25" t="str">
            <v>n/a</v>
          </cell>
          <cell r="F25" t="str">
            <v>n/a</v>
          </cell>
        </row>
        <row r="26">
          <cell r="A26" t="str">
            <v>ALI</v>
          </cell>
          <cell r="B26">
            <v>43280</v>
          </cell>
          <cell r="C26">
            <v>1.6899999999999998E-2</v>
          </cell>
          <cell r="D26">
            <v>-5.7000000000000002E-3</v>
          </cell>
          <cell r="E26" t="str">
            <v>n/a</v>
          </cell>
          <cell r="F26" t="str">
            <v>n/a</v>
          </cell>
        </row>
        <row r="27">
          <cell r="A27" t="str">
            <v>MA1</v>
          </cell>
          <cell r="B27">
            <v>43280</v>
          </cell>
          <cell r="C27">
            <v>-6.1000000000000004E-3</v>
          </cell>
          <cell r="D27">
            <v>9.3200000000000005E-2</v>
          </cell>
          <cell r="E27" t="str">
            <v>n/a</v>
          </cell>
          <cell r="F27" t="str">
            <v>n/a</v>
          </cell>
        </row>
        <row r="28">
          <cell r="A28" t="str">
            <v>8EC</v>
          </cell>
          <cell r="B28">
            <v>43280</v>
          </cell>
          <cell r="C28">
            <v>-1.0500000000000001E-2</v>
          </cell>
          <cell r="D28">
            <v>6.7699999999999996E-2</v>
          </cell>
          <cell r="E28" t="str">
            <v>n/a</v>
          </cell>
          <cell r="F28" t="str">
            <v>n/a</v>
          </cell>
        </row>
        <row r="29">
          <cell r="A29" t="str">
            <v>GC1</v>
          </cell>
          <cell r="B29">
            <v>43280</v>
          </cell>
          <cell r="C29">
            <v>4.7E-2</v>
          </cell>
          <cell r="D29">
            <v>0.16120000000000001</v>
          </cell>
          <cell r="E29" t="str">
            <v>n/a</v>
          </cell>
          <cell r="F29" t="str">
            <v>n/a</v>
          </cell>
        </row>
        <row r="30">
          <cell r="A30" t="str">
            <v>ACQ</v>
          </cell>
          <cell r="B30">
            <v>43280</v>
          </cell>
          <cell r="C30">
            <v>3.1300000000000001E-2</v>
          </cell>
          <cell r="D30">
            <v>0.30669999999999997</v>
          </cell>
          <cell r="E30">
            <v>0.21010000000000001</v>
          </cell>
          <cell r="F30" t="str">
            <v>n/a</v>
          </cell>
        </row>
        <row r="31">
          <cell r="A31" t="str">
            <v>CBC</v>
          </cell>
          <cell r="B31">
            <v>43280</v>
          </cell>
          <cell r="C31">
            <v>6.93E-2</v>
          </cell>
          <cell r="D31">
            <v>6.2799999999999995E-2</v>
          </cell>
          <cell r="E31">
            <v>2.35E-2</v>
          </cell>
          <cell r="F31" t="str">
            <v>n/a</v>
          </cell>
        </row>
        <row r="32">
          <cell r="A32" t="str">
            <v>NAC</v>
          </cell>
          <cell r="B32">
            <v>43280</v>
          </cell>
          <cell r="C32">
            <v>-4.02E-2</v>
          </cell>
          <cell r="D32">
            <v>-2.8199999999999999E-2</v>
          </cell>
          <cell r="E32">
            <v>6.4100000000000004E-2</v>
          </cell>
          <cell r="F32" t="str">
            <v>n/a</v>
          </cell>
        </row>
        <row r="33">
          <cell r="A33" t="str">
            <v>WQG</v>
          </cell>
          <cell r="B33">
            <v>43280</v>
          </cell>
          <cell r="C33">
            <v>3.3599999999999998E-2</v>
          </cell>
          <cell r="D33">
            <v>-2.2700000000000001E-2</v>
          </cell>
          <cell r="E33" t="str">
            <v>n/a</v>
          </cell>
          <cell r="F33" t="str">
            <v>n/a</v>
          </cell>
        </row>
        <row r="34">
          <cell r="A34" t="str">
            <v>D2O</v>
          </cell>
          <cell r="B34">
            <v>43280</v>
          </cell>
          <cell r="C34">
            <v>8.1799999999999998E-2</v>
          </cell>
          <cell r="D34">
            <v>0.1391</v>
          </cell>
          <cell r="E34" t="str">
            <v>n/a</v>
          </cell>
          <cell r="F34" t="str">
            <v>n/a</v>
          </cell>
        </row>
        <row r="35">
          <cell r="A35" t="str">
            <v>PGF</v>
          </cell>
          <cell r="B35">
            <v>43280</v>
          </cell>
          <cell r="C35">
            <v>4.7199999999999999E-2</v>
          </cell>
          <cell r="D35">
            <v>0.24160000000000001</v>
          </cell>
          <cell r="E35">
            <v>0.1226</v>
          </cell>
          <cell r="F35" t="str">
            <v>n/a</v>
          </cell>
        </row>
        <row r="36">
          <cell r="A36" t="str">
            <v>MEC</v>
          </cell>
          <cell r="B36">
            <v>43280</v>
          </cell>
          <cell r="C36">
            <v>-2.3599999999999999E-2</v>
          </cell>
          <cell r="D36">
            <v>-6.7699999999999996E-2</v>
          </cell>
          <cell r="E36" t="str">
            <v>n/a</v>
          </cell>
          <cell r="F36" t="str">
            <v>n/a</v>
          </cell>
        </row>
        <row r="37">
          <cell r="A37" t="str">
            <v>EGI</v>
          </cell>
          <cell r="B37">
            <v>43280</v>
          </cell>
          <cell r="C37">
            <v>0</v>
          </cell>
          <cell r="D37">
            <v>0.1003</v>
          </cell>
          <cell r="E37">
            <v>2E-3</v>
          </cell>
          <cell r="F37" t="str">
            <v>n/a</v>
          </cell>
        </row>
        <row r="38">
          <cell r="A38" t="str">
            <v>URB</v>
          </cell>
          <cell r="B38">
            <v>43280</v>
          </cell>
          <cell r="C38">
            <v>-8.1500000000000003E-2</v>
          </cell>
          <cell r="D38">
            <v>-0.15060000000000001</v>
          </cell>
          <cell r="E38" t="str">
            <v>n/a</v>
          </cell>
          <cell r="F38" t="str">
            <v>n/a</v>
          </cell>
        </row>
        <row r="39">
          <cell r="A39" t="str">
            <v>FPC</v>
          </cell>
          <cell r="B39">
            <v>43280</v>
          </cell>
          <cell r="C39">
            <v>-6.0499999999999998E-2</v>
          </cell>
          <cell r="D39">
            <v>-0.1915</v>
          </cell>
          <cell r="E39" t="str">
            <v>n/a</v>
          </cell>
          <cell r="F39" t="str">
            <v>n/a</v>
          </cell>
        </row>
        <row r="40">
          <cell r="A40" t="str">
            <v>FPP</v>
          </cell>
          <cell r="B40">
            <v>43280</v>
          </cell>
          <cell r="C40">
            <v>-2.9100000000000001E-2</v>
          </cell>
          <cell r="D40" t="str">
            <v>n/a</v>
          </cell>
          <cell r="E40" t="str">
            <v>n/a</v>
          </cell>
          <cell r="F40" t="str">
            <v>n/a</v>
          </cell>
        </row>
        <row r="41">
          <cell r="A41" t="str">
            <v>AEG</v>
          </cell>
          <cell r="B41">
            <v>43280</v>
          </cell>
          <cell r="C41">
            <v>6.3700000000000007E-2</v>
          </cell>
          <cell r="D41">
            <v>7.9399999999999998E-2</v>
          </cell>
          <cell r="E41" t="str">
            <v>n/a</v>
          </cell>
          <cell r="F41" t="str">
            <v>n/a</v>
          </cell>
        </row>
        <row r="42">
          <cell r="A42" t="str">
            <v>APL</v>
          </cell>
          <cell r="B42">
            <v>43280</v>
          </cell>
          <cell r="C42">
            <v>-8.2000000000000007E-3</v>
          </cell>
          <cell r="D42">
            <v>-5.2200000000000003E-2</v>
          </cell>
          <cell r="E42" t="str">
            <v>n/a</v>
          </cell>
          <cell r="F42" t="str">
            <v>n/a</v>
          </cell>
        </row>
        <row r="43">
          <cell r="A43" t="str">
            <v>BAF</v>
          </cell>
          <cell r="B43">
            <v>43280</v>
          </cell>
          <cell r="C43">
            <v>2.0000000000000001E-4</v>
          </cell>
          <cell r="D43">
            <v>-0.28710000000000002</v>
          </cell>
          <cell r="E43">
            <v>-2.8299999999999999E-2</v>
          </cell>
          <cell r="F43" t="str">
            <v>n/a</v>
          </cell>
        </row>
        <row r="44">
          <cell r="A44" t="str">
            <v>PL8</v>
          </cell>
          <cell r="B44">
            <v>43280</v>
          </cell>
          <cell r="C44">
            <v>4.7000000000000002E-3</v>
          </cell>
          <cell r="D44">
            <v>-2.5999999999999999E-2</v>
          </cell>
          <cell r="E44" t="str">
            <v>n/a</v>
          </cell>
          <cell r="F44" t="str">
            <v>n/a</v>
          </cell>
        </row>
        <row r="45">
          <cell r="A45" t="str">
            <v>GCI</v>
          </cell>
          <cell r="B45">
            <v>43280</v>
          </cell>
          <cell r="C45">
            <v>-2.7000000000000001E-3</v>
          </cell>
          <cell r="D45" t="str">
            <v>n/a</v>
          </cell>
          <cell r="E45" t="str">
            <v>n/a</v>
          </cell>
          <cell r="F45" t="str">
            <v>n/a</v>
          </cell>
        </row>
        <row r="46">
          <cell r="A46" t="str">
            <v>SEC</v>
          </cell>
          <cell r="B46">
            <v>43280</v>
          </cell>
          <cell r="C46">
            <v>1.2999999999999999E-2</v>
          </cell>
          <cell r="D46" t="str">
            <v>n/a</v>
          </cell>
          <cell r="E46" t="str">
            <v>n/a</v>
          </cell>
          <cell r="F46" t="str">
            <v>n/a</v>
          </cell>
        </row>
        <row r="47">
          <cell r="A47" t="str">
            <v>EAI</v>
          </cell>
          <cell r="B47">
            <v>43280</v>
          </cell>
          <cell r="C47">
            <v>-3.15E-2</v>
          </cell>
          <cell r="D47">
            <v>0.14960000000000001</v>
          </cell>
          <cell r="E47" t="str">
            <v>n/a</v>
          </cell>
          <cell r="F47" t="str">
            <v>n/a</v>
          </cell>
        </row>
        <row r="48">
          <cell r="A48" t="str">
            <v>EAF</v>
          </cell>
          <cell r="B48">
            <v>43280</v>
          </cell>
          <cell r="C48">
            <v>-1.15E-2</v>
          </cell>
          <cell r="D48" t="str">
            <v>n/a</v>
          </cell>
          <cell r="E48" t="str">
            <v>n/a</v>
          </cell>
          <cell r="F48" t="str">
            <v>n/a</v>
          </cell>
        </row>
        <row r="49">
          <cell r="A49" t="str">
            <v>CVF</v>
          </cell>
          <cell r="B49">
            <v>43280</v>
          </cell>
          <cell r="C49">
            <v>7.2599999999999998E-2</v>
          </cell>
          <cell r="D49">
            <v>0.4042</v>
          </cell>
          <cell r="E49">
            <v>0.1071</v>
          </cell>
          <cell r="F49" t="str">
            <v>n/a</v>
          </cell>
        </row>
        <row r="50">
          <cell r="A50" t="str">
            <v>FGG</v>
          </cell>
          <cell r="B50">
            <v>43280</v>
          </cell>
          <cell r="C50">
            <v>1.8700000000000001E-2</v>
          </cell>
          <cell r="D50">
            <v>0.27039999999999997</v>
          </cell>
          <cell r="E50" t="str">
            <v>n/a</v>
          </cell>
          <cell r="F50" t="str">
            <v>n/a</v>
          </cell>
        </row>
        <row r="51">
          <cell r="A51" t="str">
            <v>MGG</v>
          </cell>
          <cell r="B51">
            <v>43280</v>
          </cell>
          <cell r="C51">
            <v>5.5199999999999999E-2</v>
          </cell>
          <cell r="D51" t="str">
            <v>n/a</v>
          </cell>
          <cell r="E51" t="str">
            <v>n/a</v>
          </cell>
          <cell r="F51" t="str">
            <v>n/a</v>
          </cell>
        </row>
        <row r="52">
          <cell r="A52" t="str">
            <v>SNC</v>
          </cell>
          <cell r="B52">
            <v>43280</v>
          </cell>
          <cell r="C52">
            <v>-4.6399999999999997E-2</v>
          </cell>
          <cell r="D52">
            <v>5.5800000000000002E-2</v>
          </cell>
          <cell r="E52">
            <v>0.37669999999999998</v>
          </cell>
          <cell r="F52" t="str">
            <v>n/a</v>
          </cell>
        </row>
        <row r="53">
          <cell r="A53" t="str">
            <v>CIE</v>
          </cell>
          <cell r="B53">
            <v>43280</v>
          </cell>
          <cell r="C53">
            <v>-4.1999999999999997E-3</v>
          </cell>
          <cell r="D53">
            <v>6.0199999999999997E-2</v>
          </cell>
          <cell r="E53" t="str">
            <v>n/a</v>
          </cell>
          <cell r="F53" t="str">
            <v>n/a</v>
          </cell>
        </row>
        <row r="54">
          <cell r="A54" t="str">
            <v>AYK</v>
          </cell>
          <cell r="B54">
            <v>43280</v>
          </cell>
          <cell r="C54">
            <v>4.5199999999999997E-2</v>
          </cell>
          <cell r="D54">
            <v>-0.47910000000000003</v>
          </cell>
          <cell r="E54">
            <v>-0.27829999999999999</v>
          </cell>
          <cell r="F54" t="str">
            <v>n/a</v>
          </cell>
        </row>
        <row r="55">
          <cell r="A55" t="str">
            <v>GVF</v>
          </cell>
          <cell r="B55">
            <v>43280</v>
          </cell>
          <cell r="C55">
            <v>-1.37E-2</v>
          </cell>
          <cell r="D55">
            <v>-2.8899999999999999E-2</v>
          </cell>
          <cell r="E55">
            <v>6.8599999999999994E-2</v>
          </cell>
          <cell r="F55" t="str">
            <v>n/a</v>
          </cell>
        </row>
        <row r="56">
          <cell r="A56" t="str">
            <v>QVE</v>
          </cell>
          <cell r="B56">
            <v>43280</v>
          </cell>
          <cell r="C56">
            <v>-1E-4</v>
          </cell>
          <cell r="D56">
            <v>-0.1132</v>
          </cell>
          <cell r="E56">
            <v>0.06</v>
          </cell>
          <cell r="F56" t="str">
            <v>n/a</v>
          </cell>
        </row>
        <row r="57">
          <cell r="A57" t="str">
            <v>AYZ</v>
          </cell>
          <cell r="B57">
            <v>43280</v>
          </cell>
          <cell r="C57">
            <v>3.6299999999999999E-2</v>
          </cell>
          <cell r="D57">
            <v>-2.35E-2</v>
          </cell>
          <cell r="E57" t="str">
            <v>n/a</v>
          </cell>
          <cell r="F57" t="str">
            <v>n/a</v>
          </cell>
        </row>
        <row r="58">
          <cell r="A58" t="str">
            <v>VG1</v>
          </cell>
          <cell r="B58">
            <v>43280</v>
          </cell>
          <cell r="C58">
            <v>3.1699999999999999E-2</v>
          </cell>
          <cell r="D58" t="str">
            <v>n/a</v>
          </cell>
          <cell r="E58" t="str">
            <v>n/a</v>
          </cell>
          <cell r="F58" t="str">
            <v>n/a</v>
          </cell>
        </row>
        <row r="59">
          <cell r="A59" t="str">
            <v>MXT</v>
          </cell>
          <cell r="B59">
            <v>43280</v>
          </cell>
          <cell r="C59">
            <v>1.38E-2</v>
          </cell>
          <cell r="D59" t="str">
            <v>n/a</v>
          </cell>
          <cell r="E59" t="str">
            <v>n/a</v>
          </cell>
          <cell r="F59" t="str">
            <v>n/a</v>
          </cell>
        </row>
        <row r="60">
          <cell r="A60" t="str">
            <v>LRT</v>
          </cell>
          <cell r="B60">
            <v>43280</v>
          </cell>
          <cell r="C60">
            <v>-0.15620000000000001</v>
          </cell>
          <cell r="D60" t="str">
            <v>n/a</v>
          </cell>
          <cell r="E60" t="str">
            <v>n/a</v>
          </cell>
          <cell r="F60" t="str">
            <v>n/a</v>
          </cell>
        </row>
        <row r="61">
          <cell r="A61" t="str">
            <v>PIC</v>
          </cell>
          <cell r="B61">
            <v>43280</v>
          </cell>
          <cell r="C61">
            <v>2.1899999999999999E-2</v>
          </cell>
          <cell r="D61">
            <v>0.18859999999999999</v>
          </cell>
          <cell r="E61">
            <v>0.11020000000000001</v>
          </cell>
          <cell r="F61" t="str">
            <v>n/a</v>
          </cell>
        </row>
        <row r="62">
          <cell r="A62" t="str">
            <v>CD3</v>
          </cell>
          <cell r="B62">
            <v>43280</v>
          </cell>
          <cell r="C62">
            <v>1.26E-2</v>
          </cell>
          <cell r="D62">
            <v>-6.4000000000000003E-3</v>
          </cell>
          <cell r="E62" t="str">
            <v>n/a</v>
          </cell>
          <cell r="F62" t="str">
            <v>n/a</v>
          </cell>
        </row>
        <row r="63">
          <cell r="A63" t="str">
            <v>EGD</v>
          </cell>
          <cell r="B63">
            <v>43280</v>
          </cell>
          <cell r="C63">
            <v>5.8799999999999998E-2</v>
          </cell>
          <cell r="D63" t="str">
            <v>n/a</v>
          </cell>
          <cell r="E63" t="str">
            <v>n/a</v>
          </cell>
          <cell r="F63" t="str">
            <v>n/a</v>
          </cell>
        </row>
        <row r="64">
          <cell r="A64" t="str">
            <v>PAF</v>
          </cell>
          <cell r="B64">
            <v>43280</v>
          </cell>
          <cell r="C64">
            <v>-0.1171</v>
          </cell>
          <cell r="D64">
            <v>8.0500000000000002E-2</v>
          </cell>
          <cell r="E64">
            <v>9.0999999999999998E-2</v>
          </cell>
          <cell r="F64" t="str">
            <v>n/a</v>
          </cell>
        </row>
        <row r="65">
          <cell r="A65" t="str">
            <v>PAI</v>
          </cell>
          <cell r="B65">
            <v>43280</v>
          </cell>
          <cell r="C65">
            <v>-2.7E-2</v>
          </cell>
          <cell r="D65">
            <v>0.29220000000000002</v>
          </cell>
          <cell r="E65" t="str">
            <v>n/a</v>
          </cell>
          <cell r="F65" t="str">
            <v>n/a</v>
          </cell>
        </row>
        <row r="66">
          <cell r="A66" t="str">
            <v>FOR</v>
          </cell>
          <cell r="B66">
            <v>43280</v>
          </cell>
          <cell r="C66">
            <v>7.0199999999999999E-2</v>
          </cell>
          <cell r="D66">
            <v>6.7100000000000007E-2</v>
          </cell>
          <cell r="E66" t="str">
            <v>n/a</v>
          </cell>
          <cell r="F66" t="str">
            <v>n/a</v>
          </cell>
        </row>
        <row r="67">
          <cell r="A67" t="str">
            <v>8IH</v>
          </cell>
          <cell r="B67">
            <v>43280</v>
          </cell>
          <cell r="C67">
            <v>0</v>
          </cell>
          <cell r="D67">
            <v>-0.72070000000000001</v>
          </cell>
          <cell r="E67">
            <v>-0.46920000000000001</v>
          </cell>
          <cell r="F67" t="str">
            <v>n/a</v>
          </cell>
        </row>
        <row r="68">
          <cell r="A68" t="str">
            <v>HML</v>
          </cell>
          <cell r="B68">
            <v>43280</v>
          </cell>
          <cell r="C68" t="str">
            <v>n/a</v>
          </cell>
          <cell r="D68" t="str">
            <v>n/a</v>
          </cell>
          <cell r="E68" t="str">
            <v>n/a</v>
          </cell>
          <cell r="F68" t="str">
            <v>n/a</v>
          </cell>
        </row>
        <row r="69">
          <cell r="A69" t="str">
            <v>WDE</v>
          </cell>
          <cell r="B69">
            <v>43280</v>
          </cell>
          <cell r="C69">
            <v>0</v>
          </cell>
          <cell r="D69">
            <v>0.1075</v>
          </cell>
          <cell r="E69">
            <v>-2.29E-2</v>
          </cell>
          <cell r="F69" t="str">
            <v>n/a</v>
          </cell>
        </row>
        <row r="70">
          <cell r="A70" t="str">
            <v>WGF</v>
          </cell>
          <cell r="B70">
            <v>43280</v>
          </cell>
          <cell r="C70">
            <v>-1.09E-2</v>
          </cell>
          <cell r="D70">
            <v>-9.8599999999999993E-2</v>
          </cell>
          <cell r="E70" t="str">
            <v>n/a</v>
          </cell>
          <cell r="F70" t="str">
            <v>n/a</v>
          </cell>
        </row>
        <row r="71">
          <cell r="A71" t="str">
            <v>WLE</v>
          </cell>
          <cell r="B71">
            <v>43280</v>
          </cell>
          <cell r="C71">
            <v>8.6999999999999994E-3</v>
          </cell>
          <cell r="D71">
            <v>7.2900000000000006E-2</v>
          </cell>
          <cell r="E71" t="str">
            <v>n/a</v>
          </cell>
          <cell r="F71" t="str">
            <v>n/a</v>
          </cell>
        </row>
        <row r="72">
          <cell r="A72" t="str">
            <v>WMI</v>
          </cell>
          <cell r="B72">
            <v>43280</v>
          </cell>
          <cell r="C72">
            <v>3.5999999999999999E-3</v>
          </cell>
          <cell r="D72">
            <v>0.28489999999999999</v>
          </cell>
          <cell r="E72" t="str">
            <v>n/a</v>
          </cell>
          <cell r="F72" t="str">
            <v>n/a</v>
          </cell>
        </row>
        <row r="73">
          <cell r="A73" t="str">
            <v>WMK</v>
          </cell>
          <cell r="B73">
            <v>43280</v>
          </cell>
          <cell r="C73">
            <v>-3.6200000000000003E-2</v>
          </cell>
          <cell r="D73">
            <v>-0.1764</v>
          </cell>
          <cell r="E73">
            <v>4.9000000000000002E-2</v>
          </cell>
          <cell r="F73" t="str">
            <v>n/a</v>
          </cell>
        </row>
        <row r="74">
          <cell r="A74" t="str">
            <v>VVR</v>
          </cell>
          <cell r="B74">
            <v>43280</v>
          </cell>
          <cell r="C74">
            <v>9.74E-2</v>
          </cell>
          <cell r="D74">
            <v>5.4100000000000002E-2</v>
          </cell>
          <cell r="E74" t="str">
            <v>n/a</v>
          </cell>
          <cell r="F74" t="str">
            <v>n/a</v>
          </cell>
        </row>
        <row r="75">
          <cell r="A75" t="str">
            <v>TOT</v>
          </cell>
          <cell r="B75">
            <v>43280</v>
          </cell>
          <cell r="C75">
            <v>5.96E-2</v>
          </cell>
          <cell r="D75">
            <v>0.222</v>
          </cell>
          <cell r="E75">
            <v>0.1208</v>
          </cell>
          <cell r="F75" t="str">
            <v>n/a</v>
          </cell>
        </row>
        <row r="76">
          <cell r="A76" t="str">
            <v>RFF</v>
          </cell>
          <cell r="B76">
            <v>43280</v>
          </cell>
          <cell r="C76">
            <v>7.0000000000000001E-3</v>
          </cell>
          <cell r="D76">
            <v>0.20219999999999999</v>
          </cell>
          <cell r="E76">
            <v>0.33260000000000001</v>
          </cell>
          <cell r="F76" t="str">
            <v>n/a</v>
          </cell>
        </row>
        <row r="77">
          <cell r="A77" t="str">
            <v>NSR</v>
          </cell>
          <cell r="B77">
            <v>43280</v>
          </cell>
          <cell r="C77">
            <v>6.2600000000000003E-2</v>
          </cell>
          <cell r="D77">
            <v>0.15620000000000001</v>
          </cell>
          <cell r="E77">
            <v>6.2300000000000001E-2</v>
          </cell>
          <cell r="F77" t="str">
            <v>n/a</v>
          </cell>
        </row>
        <row r="78">
          <cell r="A78" t="str">
            <v>IDR</v>
          </cell>
          <cell r="B78">
            <v>43280</v>
          </cell>
          <cell r="C78">
            <v>5.5899999999999998E-2</v>
          </cell>
          <cell r="D78">
            <v>0.23400000000000001</v>
          </cell>
          <cell r="E78">
            <v>0.20860000000000001</v>
          </cell>
          <cell r="F78" t="str">
            <v>n/a</v>
          </cell>
        </row>
        <row r="79">
          <cell r="A79" t="str">
            <v>HPI</v>
          </cell>
          <cell r="B79">
            <v>43280</v>
          </cell>
          <cell r="C79">
            <v>2.5000000000000001E-3</v>
          </cell>
          <cell r="D79">
            <v>0.11799999999999999</v>
          </cell>
          <cell r="E79">
            <v>0.15670000000000001</v>
          </cell>
          <cell r="F79" t="str">
            <v>n/a</v>
          </cell>
        </row>
        <row r="80">
          <cell r="A80" t="str">
            <v>GDI</v>
          </cell>
          <cell r="B80">
            <v>43280</v>
          </cell>
          <cell r="C80">
            <v>3.0099999999999998E-2</v>
          </cell>
          <cell r="D80">
            <v>0.3367</v>
          </cell>
          <cell r="E80">
            <v>0.20860000000000001</v>
          </cell>
          <cell r="F80" t="str">
            <v>n/a</v>
          </cell>
        </row>
        <row r="81">
          <cell r="A81" t="str">
            <v>GDF</v>
          </cell>
          <cell r="B81">
            <v>43280</v>
          </cell>
          <cell r="C81">
            <v>1.03E-2</v>
          </cell>
          <cell r="D81">
            <v>0.1227</v>
          </cell>
          <cell r="E81" t="str">
            <v>n/a</v>
          </cell>
          <cell r="F81" t="str">
            <v>n/a</v>
          </cell>
        </row>
        <row r="82">
          <cell r="A82" t="str">
            <v>ERF</v>
          </cell>
          <cell r="B82">
            <v>43280</v>
          </cell>
          <cell r="C82">
            <v>3.2099999999999997E-2</v>
          </cell>
          <cell r="D82">
            <v>1.6899999999999998E-2</v>
          </cell>
          <cell r="E82" t="str">
            <v>n/a</v>
          </cell>
          <cell r="F82" t="str">
            <v>n/a</v>
          </cell>
        </row>
        <row r="83">
          <cell r="A83" t="str">
            <v>CMA</v>
          </cell>
          <cell r="B83">
            <v>43280</v>
          </cell>
          <cell r="C83">
            <v>7.0599999999999996E-2</v>
          </cell>
          <cell r="D83">
            <v>7.1300000000000002E-2</v>
          </cell>
          <cell r="E83">
            <v>0.1522</v>
          </cell>
          <cell r="F83" t="str">
            <v>n/a</v>
          </cell>
        </row>
        <row r="84">
          <cell r="A84" t="str">
            <v>URW</v>
          </cell>
          <cell r="B84">
            <v>43280</v>
          </cell>
          <cell r="C84">
            <v>-2.7000000000000358E-5</v>
          </cell>
          <cell r="D84" t="str">
            <v>n/a</v>
          </cell>
          <cell r="E84" t="str">
            <v>n/a</v>
          </cell>
          <cell r="F84" t="str">
            <v>n/a</v>
          </cell>
        </row>
        <row r="85">
          <cell r="A85" t="str">
            <v>CRR</v>
          </cell>
          <cell r="B85">
            <v>43280</v>
          </cell>
          <cell r="C85">
            <v>3.7600000000000001E-2</v>
          </cell>
          <cell r="D85" t="str">
            <v>n/a</v>
          </cell>
          <cell r="E85" t="str">
            <v>n/a</v>
          </cell>
          <cell r="F85" t="str">
            <v>n/a</v>
          </cell>
        </row>
        <row r="86">
          <cell r="A86" t="str">
            <v>CLW</v>
          </cell>
          <cell r="B86">
            <v>43280</v>
          </cell>
          <cell r="C86">
            <v>6.8900000000000003E-2</v>
          </cell>
          <cell r="D86">
            <v>0.13469999999999999</v>
          </cell>
          <cell r="E86" t="str">
            <v>n/a</v>
          </cell>
          <cell r="F86" t="str">
            <v>n/a</v>
          </cell>
        </row>
        <row r="87">
          <cell r="A87" t="str">
            <v>PLG</v>
          </cell>
          <cell r="B87">
            <v>43280</v>
          </cell>
          <cell r="C87">
            <v>4.4600000000000001E-2</v>
          </cell>
          <cell r="D87">
            <v>0.34499999999999997</v>
          </cell>
          <cell r="E87" t="str">
            <v>n/a</v>
          </cell>
          <cell r="F87" t="str">
            <v>n/a</v>
          </cell>
        </row>
        <row r="88">
          <cell r="A88" t="str">
            <v>AVN</v>
          </cell>
          <cell r="B88">
            <v>43280</v>
          </cell>
          <cell r="C88">
            <v>1.7999999999999999E-2</v>
          </cell>
          <cell r="D88">
            <v>4.7199999999999999E-2</v>
          </cell>
          <cell r="E88" t="str">
            <v>n/a</v>
          </cell>
          <cell r="F88" t="str">
            <v>n/a</v>
          </cell>
        </row>
        <row r="89">
          <cell r="A89" t="str">
            <v>AOF</v>
          </cell>
          <cell r="B89">
            <v>43280</v>
          </cell>
          <cell r="C89">
            <v>7.6100000000000001E-2</v>
          </cell>
          <cell r="D89">
            <v>0.1973</v>
          </cell>
          <cell r="E89" t="str">
            <v>n/a</v>
          </cell>
          <cell r="F89" t="str">
            <v>n/a</v>
          </cell>
        </row>
        <row r="90">
          <cell r="A90" t="str">
            <v>A200</v>
          </cell>
          <cell r="B90">
            <v>43280</v>
          </cell>
          <cell r="C90">
            <v>3.56E-2</v>
          </cell>
          <cell r="D90" t="str">
            <v>n/a</v>
          </cell>
          <cell r="E90" t="str">
            <v>n/a</v>
          </cell>
          <cell r="F90" t="str">
            <v>n/a</v>
          </cell>
        </row>
        <row r="91">
          <cell r="A91" t="str">
            <v>AUDS</v>
          </cell>
          <cell r="B91">
            <v>43280</v>
          </cell>
          <cell r="C91">
            <v>-5.9499999999999997E-2</v>
          </cell>
          <cell r="D91">
            <v>-0.10920000000000001</v>
          </cell>
          <cell r="E91" t="str">
            <v>n/a</v>
          </cell>
          <cell r="F91" t="str">
            <v>n/a</v>
          </cell>
        </row>
        <row r="92">
          <cell r="A92" t="str">
            <v>AUMF</v>
          </cell>
          <cell r="B92">
            <v>43280</v>
          </cell>
          <cell r="C92">
            <v>3.2899999999999999E-2</v>
          </cell>
          <cell r="D92">
            <v>0.1545</v>
          </cell>
          <cell r="E92" t="str">
            <v>n/a</v>
          </cell>
          <cell r="F92" t="str">
            <v>n/a</v>
          </cell>
        </row>
        <row r="93">
          <cell r="A93" t="str">
            <v>AUST</v>
          </cell>
          <cell r="B93">
            <v>43280</v>
          </cell>
          <cell r="C93">
            <v>3.2399999999999998E-2</v>
          </cell>
          <cell r="D93">
            <v>0.1052</v>
          </cell>
          <cell r="E93" t="str">
            <v>n/a</v>
          </cell>
          <cell r="F93" t="str">
            <v>n/a</v>
          </cell>
        </row>
        <row r="94">
          <cell r="A94" t="str">
            <v>BBOZ</v>
          </cell>
          <cell r="B94">
            <v>43280</v>
          </cell>
          <cell r="C94">
            <v>-7.8799999999999995E-2</v>
          </cell>
          <cell r="D94">
            <v>-0.22470000000000001</v>
          </cell>
          <cell r="E94">
            <v>-0.19620000000000001</v>
          </cell>
          <cell r="F94" t="str">
            <v>n/a</v>
          </cell>
        </row>
        <row r="95">
          <cell r="A95" t="str">
            <v>BBUS</v>
          </cell>
          <cell r="B95">
            <v>43280</v>
          </cell>
          <cell r="C95">
            <v>-1.1599999999999999E-2</v>
          </cell>
          <cell r="D95">
            <v>-0.2858</v>
          </cell>
          <cell r="E95" t="str">
            <v>n/a</v>
          </cell>
          <cell r="F95" t="str">
            <v>n/a</v>
          </cell>
        </row>
        <row r="96">
          <cell r="A96" t="str">
            <v>BILL</v>
          </cell>
          <cell r="B96">
            <v>43280</v>
          </cell>
          <cell r="C96">
            <v>1.6000000000000001E-3</v>
          </cell>
          <cell r="D96">
            <v>1.8200000000000001E-2</v>
          </cell>
          <cell r="E96" t="str">
            <v>n/a</v>
          </cell>
          <cell r="F96" t="str">
            <v>n/a</v>
          </cell>
        </row>
        <row r="97">
          <cell r="A97" t="str">
            <v>BNKS</v>
          </cell>
          <cell r="B97">
            <v>43280</v>
          </cell>
          <cell r="C97">
            <v>-5.6099999999999997E-2</v>
          </cell>
          <cell r="D97">
            <v>1.2699999999999999E-2</v>
          </cell>
          <cell r="E97" t="str">
            <v>n/a</v>
          </cell>
          <cell r="F97" t="str">
            <v>n/a</v>
          </cell>
        </row>
        <row r="98">
          <cell r="A98" t="str">
            <v>CETF</v>
          </cell>
          <cell r="B98">
            <v>43280</v>
          </cell>
          <cell r="C98">
            <v>-8.7800000000000003E-2</v>
          </cell>
          <cell r="D98">
            <v>1.44E-2</v>
          </cell>
          <cell r="E98">
            <v>-7.6700000000000004E-2</v>
          </cell>
          <cell r="F98" t="str">
            <v>n/a</v>
          </cell>
        </row>
        <row r="99">
          <cell r="A99" t="str">
            <v>CORE</v>
          </cell>
          <cell r="B99">
            <v>43280</v>
          </cell>
          <cell r="C99">
            <v>8.2000000000000007E-3</v>
          </cell>
          <cell r="D99" t="str">
            <v>n/a</v>
          </cell>
          <cell r="E99" t="str">
            <v>n/a</v>
          </cell>
          <cell r="F99" t="str">
            <v>n/a</v>
          </cell>
        </row>
        <row r="100">
          <cell r="A100" t="str">
            <v>DIV</v>
          </cell>
          <cell r="B100">
            <v>43280</v>
          </cell>
          <cell r="C100">
            <v>6.7000000000000004E-2</v>
          </cell>
          <cell r="D100">
            <v>7.1900000000000006E-2</v>
          </cell>
          <cell r="E100">
            <v>6.4399999999999999E-2</v>
          </cell>
          <cell r="F100" t="str">
            <v>n/a</v>
          </cell>
        </row>
        <row r="101">
          <cell r="A101" t="str">
            <v>DJRE</v>
          </cell>
          <cell r="B101">
            <v>43280</v>
          </cell>
          <cell r="C101">
            <v>3.9399999999999998E-2</v>
          </cell>
          <cell r="D101">
            <v>7.4999999999999997E-2</v>
          </cell>
          <cell r="E101">
            <v>5.57E-2</v>
          </cell>
          <cell r="F101" t="str">
            <v>n/a</v>
          </cell>
        </row>
        <row r="102">
          <cell r="A102" t="str">
            <v>DMKT</v>
          </cell>
          <cell r="B102">
            <v>43280</v>
          </cell>
          <cell r="C102">
            <v>-1.8599999999999998E-2</v>
          </cell>
          <cell r="D102">
            <v>5.4399999999999997E-2</v>
          </cell>
          <cell r="E102" t="str">
            <v>n/a</v>
          </cell>
          <cell r="F102" t="str">
            <v>n/a</v>
          </cell>
        </row>
        <row r="103">
          <cell r="A103" t="str">
            <v>DRUG</v>
          </cell>
          <cell r="B103">
            <v>43280</v>
          </cell>
          <cell r="C103">
            <v>2E-3</v>
          </cell>
          <cell r="D103">
            <v>4.3999999999999997E-2</v>
          </cell>
          <cell r="E103" t="str">
            <v>n/a</v>
          </cell>
          <cell r="F103" t="str">
            <v>n/a</v>
          </cell>
        </row>
        <row r="104">
          <cell r="A104" t="str">
            <v>EIGA</v>
          </cell>
          <cell r="B104">
            <v>43280</v>
          </cell>
          <cell r="C104">
            <v>3.2599999999999997E-2</v>
          </cell>
          <cell r="D104" t="str">
            <v>n/a</v>
          </cell>
          <cell r="E104" t="str">
            <v>n/a</v>
          </cell>
          <cell r="F104" t="str">
            <v>n/a</v>
          </cell>
        </row>
        <row r="105">
          <cell r="A105" t="str">
            <v>EINC</v>
          </cell>
          <cell r="B105">
            <v>43280</v>
          </cell>
          <cell r="C105">
            <v>2.76E-2</v>
          </cell>
          <cell r="D105" t="str">
            <v>n/a</v>
          </cell>
          <cell r="E105" t="str">
            <v>n/a</v>
          </cell>
          <cell r="F105" t="str">
            <v>n/a</v>
          </cell>
        </row>
        <row r="106">
          <cell r="A106" t="str">
            <v>EMKT</v>
          </cell>
          <cell r="B106">
            <v>43280</v>
          </cell>
          <cell r="C106">
            <v>-6.2300000000000001E-2</v>
          </cell>
          <cell r="D106" t="str">
            <v>n/a</v>
          </cell>
          <cell r="E106" t="str">
            <v>n/a</v>
          </cell>
          <cell r="F106" t="str">
            <v>n/a</v>
          </cell>
        </row>
        <row r="107">
          <cell r="A107" t="str">
            <v>ESGI</v>
          </cell>
          <cell r="B107">
            <v>43280</v>
          </cell>
          <cell r="C107" t="str">
            <v>n/a</v>
          </cell>
          <cell r="D107" t="str">
            <v>n/a</v>
          </cell>
          <cell r="E107" t="str">
            <v>n/a</v>
          </cell>
          <cell r="F107" t="str">
            <v>n/a</v>
          </cell>
        </row>
        <row r="108">
          <cell r="A108" t="str">
            <v>ESTX</v>
          </cell>
          <cell r="B108">
            <v>43280</v>
          </cell>
          <cell r="C108">
            <v>-1.5E-3</v>
          </cell>
          <cell r="D108">
            <v>6.3200000000000006E-2</v>
          </cell>
          <cell r="E108" t="str">
            <v>n/a</v>
          </cell>
          <cell r="F108" t="str">
            <v>n/a</v>
          </cell>
        </row>
        <row r="109">
          <cell r="A109" t="str">
            <v>ETHI</v>
          </cell>
          <cell r="B109">
            <v>43280</v>
          </cell>
          <cell r="C109">
            <v>1.32E-2</v>
          </cell>
          <cell r="D109">
            <v>0.21790000000000001</v>
          </cell>
          <cell r="E109" t="str">
            <v>n/a</v>
          </cell>
          <cell r="F109" t="str">
            <v>n/a</v>
          </cell>
        </row>
        <row r="110">
          <cell r="A110" t="str">
            <v>EX20</v>
          </cell>
          <cell r="B110">
            <v>43280</v>
          </cell>
          <cell r="C110">
            <v>3.2800000000000003E-2</v>
          </cell>
          <cell r="D110">
            <v>0.16170000000000001</v>
          </cell>
          <cell r="E110" t="str">
            <v>n/a</v>
          </cell>
          <cell r="F110" t="str">
            <v>n/a</v>
          </cell>
        </row>
        <row r="111">
          <cell r="A111" t="str">
            <v>FAIR</v>
          </cell>
          <cell r="B111">
            <v>43280</v>
          </cell>
          <cell r="C111">
            <v>2.4400000000000002E-2</v>
          </cell>
          <cell r="D111" t="str">
            <v>n/a</v>
          </cell>
          <cell r="E111" t="str">
            <v>n/a</v>
          </cell>
          <cell r="F111" t="str">
            <v>n/a</v>
          </cell>
        </row>
        <row r="112">
          <cell r="A112" t="str">
            <v>FDIV</v>
          </cell>
          <cell r="B112">
            <v>43280</v>
          </cell>
          <cell r="C112">
            <v>2.1499999999999998E-2</v>
          </cell>
          <cell r="D112">
            <v>9.2299999999999993E-2</v>
          </cell>
          <cell r="E112" t="str">
            <v>n/a</v>
          </cell>
          <cell r="F112" t="str">
            <v>n/a</v>
          </cell>
        </row>
        <row r="113">
          <cell r="A113" t="str">
            <v>FLOT</v>
          </cell>
          <cell r="B113">
            <v>43280</v>
          </cell>
          <cell r="C113">
            <v>2.3E-3</v>
          </cell>
          <cell r="D113" t="str">
            <v>n/a</v>
          </cell>
          <cell r="E113" t="str">
            <v>n/a</v>
          </cell>
          <cell r="F113" t="str">
            <v>n/a</v>
          </cell>
        </row>
        <row r="114">
          <cell r="A114" t="str">
            <v>FOOD</v>
          </cell>
          <cell r="B114">
            <v>43280</v>
          </cell>
          <cell r="C114">
            <v>-2.8299999999999999E-2</v>
          </cell>
          <cell r="D114">
            <v>5.7099999999999998E-2</v>
          </cell>
          <cell r="E114" t="str">
            <v>n/a</v>
          </cell>
          <cell r="F114" t="str">
            <v>n/a</v>
          </cell>
        </row>
        <row r="115">
          <cell r="A115" t="str">
            <v>FUEL</v>
          </cell>
          <cell r="B115">
            <v>43280</v>
          </cell>
          <cell r="C115">
            <v>2.64E-2</v>
          </cell>
          <cell r="D115">
            <v>0.25779999999999997</v>
          </cell>
          <cell r="E115" t="str">
            <v>n/a</v>
          </cell>
          <cell r="F115" t="str">
            <v>n/a</v>
          </cell>
        </row>
        <row r="116">
          <cell r="A116" t="str">
            <v>GDX</v>
          </cell>
          <cell r="B116">
            <v>43280</v>
          </cell>
          <cell r="C116">
            <v>1.18E-2</v>
          </cell>
          <cell r="D116">
            <v>4.3900000000000002E-2</v>
          </cell>
          <cell r="E116">
            <v>9.11E-2</v>
          </cell>
          <cell r="F116" t="str">
            <v>n/a</v>
          </cell>
        </row>
        <row r="117">
          <cell r="A117" t="str">
            <v>GEAR</v>
          </cell>
          <cell r="B117">
            <v>43280</v>
          </cell>
          <cell r="C117">
            <v>6.9199999999999998E-2</v>
          </cell>
          <cell r="D117">
            <v>0.24060000000000001</v>
          </cell>
          <cell r="E117">
            <v>0.13250000000000001</v>
          </cell>
          <cell r="F117" t="str">
            <v>n/a</v>
          </cell>
        </row>
        <row r="118">
          <cell r="A118" t="str">
            <v>GGUS</v>
          </cell>
          <cell r="B118">
            <v>43280</v>
          </cell>
          <cell r="C118">
            <v>4.3E-3</v>
          </cell>
          <cell r="D118">
            <v>0.25440000000000002</v>
          </cell>
          <cell r="E118" t="str">
            <v>n/a</v>
          </cell>
          <cell r="F118" t="str">
            <v>n/a</v>
          </cell>
        </row>
        <row r="119">
          <cell r="A119" t="str">
            <v>GLIN</v>
          </cell>
          <cell r="B119">
            <v>43280</v>
          </cell>
          <cell r="C119">
            <v>5.0299999999999997E-2</v>
          </cell>
          <cell r="D119">
            <v>4.1799999999999997E-2</v>
          </cell>
          <cell r="E119" t="str">
            <v>n/a</v>
          </cell>
          <cell r="F119" t="str">
            <v>n/a</v>
          </cell>
        </row>
        <row r="120">
          <cell r="A120" t="str">
            <v>GROW</v>
          </cell>
          <cell r="B120">
            <v>43280</v>
          </cell>
          <cell r="C120">
            <v>8.2000000000000007E-3</v>
          </cell>
          <cell r="D120">
            <v>4.3200000000000002E-2</v>
          </cell>
          <cell r="E120" t="str">
            <v>n/a</v>
          </cell>
          <cell r="F120" t="str">
            <v>n/a</v>
          </cell>
        </row>
        <row r="121">
          <cell r="A121" t="str">
            <v>HACK</v>
          </cell>
          <cell r="B121">
            <v>43280</v>
          </cell>
          <cell r="C121">
            <v>1.89E-2</v>
          </cell>
          <cell r="D121">
            <v>0.26929999999999998</v>
          </cell>
          <cell r="E121" t="str">
            <v>n/a</v>
          </cell>
          <cell r="F121" t="str">
            <v>n/a</v>
          </cell>
        </row>
        <row r="122">
          <cell r="A122" t="str">
            <v>HBRD</v>
          </cell>
          <cell r="B122">
            <v>43280</v>
          </cell>
          <cell r="C122">
            <v>1.44E-2</v>
          </cell>
          <cell r="D122" t="str">
            <v>n/a</v>
          </cell>
          <cell r="E122" t="str">
            <v>n/a</v>
          </cell>
          <cell r="F122" t="str">
            <v>n/a</v>
          </cell>
        </row>
        <row r="123">
          <cell r="A123" t="str">
            <v>HEUR</v>
          </cell>
          <cell r="B123">
            <v>43280</v>
          </cell>
          <cell r="C123">
            <v>-2.7400000000000001E-2</v>
          </cell>
          <cell r="D123">
            <v>3.5299999999999998E-2</v>
          </cell>
          <cell r="E123" t="str">
            <v>n/a</v>
          </cell>
          <cell r="F123" t="str">
            <v>n/a</v>
          </cell>
        </row>
        <row r="124">
          <cell r="A124" t="str">
            <v>HJPN</v>
          </cell>
          <cell r="B124">
            <v>43280</v>
          </cell>
          <cell r="C124">
            <v>-2.1399999999999999E-2</v>
          </cell>
          <cell r="D124">
            <v>7.2900000000000006E-2</v>
          </cell>
          <cell r="E124" t="str">
            <v>n/a</v>
          </cell>
          <cell r="F124" t="str">
            <v>n/a</v>
          </cell>
        </row>
        <row r="125">
          <cell r="A125" t="str">
            <v>HVST</v>
          </cell>
          <cell r="B125">
            <v>43280</v>
          </cell>
          <cell r="C125">
            <v>2.4199999999999999E-2</v>
          </cell>
          <cell r="D125">
            <v>-4.2999999999999997E-2</v>
          </cell>
          <cell r="E125">
            <v>-8.6E-3</v>
          </cell>
          <cell r="F125" t="str">
            <v>n/a</v>
          </cell>
        </row>
        <row r="126">
          <cell r="A126" t="str">
            <v>IFRA</v>
          </cell>
          <cell r="B126">
            <v>43280</v>
          </cell>
          <cell r="C126">
            <v>2.92E-2</v>
          </cell>
          <cell r="D126">
            <v>3.2300000000000002E-2</v>
          </cell>
          <cell r="E126" t="str">
            <v>n/a</v>
          </cell>
          <cell r="F126" t="str">
            <v>n/a</v>
          </cell>
        </row>
        <row r="127">
          <cell r="A127" t="str">
            <v>IHCB</v>
          </cell>
          <cell r="B127">
            <v>43280</v>
          </cell>
          <cell r="C127">
            <v>-3.8E-3</v>
          </cell>
          <cell r="D127">
            <v>-5.0000000000000001E-4</v>
          </cell>
          <cell r="E127" t="str">
            <v>n/a</v>
          </cell>
          <cell r="F127" t="str">
            <v>n/a</v>
          </cell>
        </row>
        <row r="128">
          <cell r="A128" t="str">
            <v>IHEB</v>
          </cell>
          <cell r="B128">
            <v>43280</v>
          </cell>
          <cell r="C128">
            <v>-2.7300000000000001E-2</v>
          </cell>
          <cell r="D128">
            <v>-3.5299999999999998E-2</v>
          </cell>
          <cell r="E128" t="str">
            <v>n/a</v>
          </cell>
          <cell r="F128" t="str">
            <v>n/a</v>
          </cell>
        </row>
        <row r="129">
          <cell r="A129" t="str">
            <v>IHHY</v>
          </cell>
          <cell r="B129">
            <v>43280</v>
          </cell>
          <cell r="C129">
            <v>-5.1999999999999998E-3</v>
          </cell>
          <cell r="D129">
            <v>1.12E-2</v>
          </cell>
          <cell r="E129" t="str">
            <v>n/a</v>
          </cell>
          <cell r="F129" t="str">
            <v>n/a</v>
          </cell>
        </row>
        <row r="130">
          <cell r="A130" t="str">
            <v>IHOO</v>
          </cell>
          <cell r="B130">
            <v>43280</v>
          </cell>
          <cell r="C130">
            <v>-8.9999999999999998E-4</v>
          </cell>
          <cell r="D130">
            <v>0.1069</v>
          </cell>
          <cell r="E130">
            <v>0.10290000000000001</v>
          </cell>
          <cell r="F130" t="str">
            <v>n/a</v>
          </cell>
        </row>
        <row r="131">
          <cell r="A131" t="str">
            <v>IHVV</v>
          </cell>
          <cell r="B131">
            <v>43280</v>
          </cell>
          <cell r="C131">
            <v>3.8999999999999998E-3</v>
          </cell>
          <cell r="D131">
            <v>0.1371</v>
          </cell>
          <cell r="E131">
            <v>0.11840000000000001</v>
          </cell>
          <cell r="F131" t="str">
            <v>n/a</v>
          </cell>
        </row>
        <row r="132">
          <cell r="A132" t="str">
            <v>IHWL</v>
          </cell>
          <cell r="B132">
            <v>43280</v>
          </cell>
          <cell r="C132">
            <v>-4.7999999999999996E-3</v>
          </cell>
          <cell r="D132">
            <v>0.11070000000000001</v>
          </cell>
          <cell r="E132" t="str">
            <v>n/a</v>
          </cell>
          <cell r="F132" t="str">
            <v>n/a</v>
          </cell>
        </row>
        <row r="133">
          <cell r="A133" t="str">
            <v>ISEC</v>
          </cell>
          <cell r="B133">
            <v>43280</v>
          </cell>
          <cell r="C133">
            <v>1.5E-3</v>
          </cell>
          <cell r="D133">
            <v>2.1000000000000001E-2</v>
          </cell>
          <cell r="E133" t="str">
            <v>n/a</v>
          </cell>
          <cell r="F133" t="str">
            <v>n/a</v>
          </cell>
        </row>
        <row r="134">
          <cell r="A134" t="str">
            <v>IWLD</v>
          </cell>
          <cell r="B134">
            <v>43280</v>
          </cell>
          <cell r="C134">
            <v>1.3100000000000001E-2</v>
          </cell>
          <cell r="D134">
            <v>0.15640000000000001</v>
          </cell>
          <cell r="E134" t="str">
            <v>n/a</v>
          </cell>
          <cell r="F134" t="str">
            <v>n/a</v>
          </cell>
        </row>
        <row r="135">
          <cell r="A135" t="str">
            <v>KII</v>
          </cell>
          <cell r="B135">
            <v>43280</v>
          </cell>
          <cell r="C135">
            <v>3.7000000000000002E-3</v>
          </cell>
          <cell r="D135">
            <v>8.8700000000000001E-2</v>
          </cell>
          <cell r="E135" t="str">
            <v>n/a</v>
          </cell>
          <cell r="F135" t="str">
            <v>n/a</v>
          </cell>
        </row>
        <row r="136">
          <cell r="A136" t="str">
            <v>KSM</v>
          </cell>
          <cell r="B136">
            <v>43280</v>
          </cell>
          <cell r="C136">
            <v>4.1799999999999997E-2</v>
          </cell>
          <cell r="D136">
            <v>5.3499999999999999E-2</v>
          </cell>
          <cell r="E136" t="str">
            <v>n/a</v>
          </cell>
          <cell r="F136" t="str">
            <v>n/a</v>
          </cell>
        </row>
        <row r="137">
          <cell r="A137" t="str">
            <v>MGE</v>
          </cell>
          <cell r="B137">
            <v>43280</v>
          </cell>
          <cell r="C137">
            <v>2.0299999999999999E-2</v>
          </cell>
          <cell r="D137">
            <v>0.16769999999999999</v>
          </cell>
          <cell r="E137">
            <v>0.1022</v>
          </cell>
          <cell r="F137" t="str">
            <v>n/a</v>
          </cell>
        </row>
        <row r="138">
          <cell r="A138" t="str">
            <v>MHG</v>
          </cell>
          <cell r="B138">
            <v>43280</v>
          </cell>
          <cell r="C138">
            <v>-6.4000000000000003E-3</v>
          </cell>
          <cell r="D138">
            <v>0.12280000000000001</v>
          </cell>
          <cell r="E138" t="str">
            <v>n/a</v>
          </cell>
          <cell r="F138" t="str">
            <v>n/a</v>
          </cell>
        </row>
        <row r="139">
          <cell r="A139" t="str">
            <v>MICH</v>
          </cell>
          <cell r="B139">
            <v>43280</v>
          </cell>
          <cell r="C139">
            <v>2.5700000000000001E-2</v>
          </cell>
          <cell r="D139">
            <v>7.0300000000000001E-2</v>
          </cell>
          <cell r="E139" t="str">
            <v>n/a</v>
          </cell>
          <cell r="F139" t="str">
            <v>n/a</v>
          </cell>
        </row>
        <row r="140">
          <cell r="A140" t="str">
            <v>MNRS</v>
          </cell>
          <cell r="B140">
            <v>43280</v>
          </cell>
          <cell r="C140">
            <v>0</v>
          </cell>
          <cell r="D140">
            <v>-4.5499999999999999E-2</v>
          </cell>
          <cell r="E140" t="str">
            <v>n/a</v>
          </cell>
          <cell r="F140" t="str">
            <v>n/a</v>
          </cell>
        </row>
        <row r="141">
          <cell r="A141" t="str">
            <v>MOAT</v>
          </cell>
          <cell r="B141">
            <v>43280</v>
          </cell>
          <cell r="C141">
            <v>4.4600000000000001E-2</v>
          </cell>
          <cell r="D141">
            <v>0.1565</v>
          </cell>
          <cell r="E141">
            <v>0.15190000000000001</v>
          </cell>
          <cell r="F141" t="str">
            <v>n/a</v>
          </cell>
        </row>
        <row r="142">
          <cell r="A142" t="str">
            <v>MOGL</v>
          </cell>
          <cell r="B142">
            <v>43280</v>
          </cell>
          <cell r="C142">
            <v>1.6000000000000001E-3</v>
          </cell>
          <cell r="D142" t="str">
            <v>n/a</v>
          </cell>
          <cell r="E142" t="str">
            <v>n/a</v>
          </cell>
          <cell r="F142" t="str">
            <v>n/a</v>
          </cell>
        </row>
        <row r="143">
          <cell r="A143" t="str">
            <v>MONY</v>
          </cell>
          <cell r="B143">
            <v>43280</v>
          </cell>
          <cell r="C143">
            <v>4.0000000000000001E-3</v>
          </cell>
          <cell r="D143" t="str">
            <v>n/a</v>
          </cell>
          <cell r="E143" t="str">
            <v>n/a</v>
          </cell>
          <cell r="F143" t="str">
            <v>n/a</v>
          </cell>
        </row>
        <row r="144">
          <cell r="A144" t="str">
            <v>MVA</v>
          </cell>
          <cell r="B144">
            <v>43280</v>
          </cell>
          <cell r="C144">
            <v>2.9100000000000001E-2</v>
          </cell>
          <cell r="D144">
            <v>0.13489999999999999</v>
          </cell>
          <cell r="E144">
            <v>0.1036</v>
          </cell>
          <cell r="F144" t="str">
            <v>n/a</v>
          </cell>
        </row>
        <row r="145">
          <cell r="A145" t="str">
            <v>MVB</v>
          </cell>
          <cell r="B145">
            <v>43280</v>
          </cell>
          <cell r="C145">
            <v>3.4299999999999997E-2</v>
          </cell>
          <cell r="D145">
            <v>6.5699999999999995E-2</v>
          </cell>
          <cell r="E145">
            <v>4.9000000000000002E-2</v>
          </cell>
          <cell r="F145" t="str">
            <v>n/a</v>
          </cell>
        </row>
        <row r="146">
          <cell r="A146" t="str">
            <v>MVE</v>
          </cell>
          <cell r="B146">
            <v>43280</v>
          </cell>
          <cell r="C146">
            <v>2.6599999999999999E-2</v>
          </cell>
          <cell r="D146">
            <v>0.1376</v>
          </cell>
          <cell r="E146">
            <v>0.12820000000000001</v>
          </cell>
          <cell r="F146" t="str">
            <v>n/a</v>
          </cell>
        </row>
        <row r="147">
          <cell r="A147" t="str">
            <v>MVOL</v>
          </cell>
          <cell r="B147">
            <v>43280</v>
          </cell>
          <cell r="C147">
            <v>3.7100000000000001E-2</v>
          </cell>
          <cell r="D147">
            <v>0.1022</v>
          </cell>
          <cell r="E147" t="str">
            <v>n/a</v>
          </cell>
          <cell r="F147" t="str">
            <v>n/a</v>
          </cell>
        </row>
        <row r="148">
          <cell r="A148" t="str">
            <v>MVR</v>
          </cell>
          <cell r="B148">
            <v>43280</v>
          </cell>
          <cell r="C148">
            <v>5.62E-2</v>
          </cell>
          <cell r="D148">
            <v>0.37219999999999998</v>
          </cell>
          <cell r="E148">
            <v>0.16270000000000001</v>
          </cell>
          <cell r="F148" t="str">
            <v>n/a</v>
          </cell>
        </row>
        <row r="149">
          <cell r="A149" t="str">
            <v>MVS</v>
          </cell>
          <cell r="B149">
            <v>43280</v>
          </cell>
          <cell r="C149">
            <v>2.7799999999999998E-2</v>
          </cell>
          <cell r="D149">
            <v>0.1862</v>
          </cell>
          <cell r="E149">
            <v>0.1371</v>
          </cell>
          <cell r="F149" t="str">
            <v>n/a</v>
          </cell>
        </row>
        <row r="150">
          <cell r="A150" t="str">
            <v>MVW</v>
          </cell>
          <cell r="B150">
            <v>43280</v>
          </cell>
          <cell r="C150">
            <v>2.6700000000000002E-2</v>
          </cell>
          <cell r="D150">
            <v>0.1275</v>
          </cell>
          <cell r="E150">
            <v>0.12820000000000001</v>
          </cell>
          <cell r="F150" t="str">
            <v>n/a</v>
          </cell>
        </row>
        <row r="151">
          <cell r="A151" t="str">
            <v>NDQ</v>
          </cell>
          <cell r="B151">
            <v>43280</v>
          </cell>
          <cell r="C151">
            <v>3.4799999999999998E-2</v>
          </cell>
          <cell r="D151">
            <v>0.30919999999999997</v>
          </cell>
          <cell r="E151">
            <v>0.20480000000000001</v>
          </cell>
          <cell r="F151" t="str">
            <v>n/a</v>
          </cell>
        </row>
        <row r="152">
          <cell r="A152" t="str">
            <v>PAXX</v>
          </cell>
          <cell r="B152">
            <v>43280</v>
          </cell>
          <cell r="C152">
            <v>-3.39E-2</v>
          </cell>
          <cell r="D152" t="str">
            <v>n/a</v>
          </cell>
          <cell r="E152" t="str">
            <v>n/a</v>
          </cell>
          <cell r="F152" t="str">
            <v>n/a</v>
          </cell>
        </row>
        <row r="153">
          <cell r="A153" t="str">
            <v>PIXX</v>
          </cell>
          <cell r="B153">
            <v>43280</v>
          </cell>
          <cell r="C153">
            <v>-2.5499999999999998E-2</v>
          </cell>
          <cell r="D153" t="str">
            <v>n/a</v>
          </cell>
          <cell r="E153" t="str">
            <v>n/a</v>
          </cell>
          <cell r="F153" t="str">
            <v>n/a</v>
          </cell>
        </row>
        <row r="154">
          <cell r="A154" t="str">
            <v>PLUS</v>
          </cell>
          <cell r="B154">
            <v>43280</v>
          </cell>
          <cell r="C154">
            <v>7.0000000000000001E-3</v>
          </cell>
          <cell r="D154">
            <v>0.04</v>
          </cell>
          <cell r="E154" t="str">
            <v>n/a</v>
          </cell>
          <cell r="F154" t="str">
            <v>n/a</v>
          </cell>
        </row>
        <row r="155">
          <cell r="A155" t="str">
            <v>QMIX</v>
          </cell>
          <cell r="B155">
            <v>43280</v>
          </cell>
          <cell r="C155">
            <v>1.7100000000000001E-2</v>
          </cell>
          <cell r="D155">
            <v>0.156</v>
          </cell>
          <cell r="E155" t="str">
            <v>n/a</v>
          </cell>
          <cell r="F155" t="str">
            <v>n/a</v>
          </cell>
        </row>
        <row r="156">
          <cell r="A156" t="str">
            <v>QOZ</v>
          </cell>
          <cell r="B156">
            <v>43280</v>
          </cell>
          <cell r="C156">
            <v>3.9100000000000003E-2</v>
          </cell>
          <cell r="D156">
            <v>0.12590000000000001</v>
          </cell>
          <cell r="E156">
            <v>9.3899999999999997E-2</v>
          </cell>
          <cell r="F156" t="str">
            <v>n/a</v>
          </cell>
        </row>
        <row r="157">
          <cell r="A157" t="str">
            <v>QPON</v>
          </cell>
          <cell r="B157">
            <v>43280</v>
          </cell>
          <cell r="C157">
            <v>4.0000000000000002E-4</v>
          </cell>
          <cell r="D157">
            <v>2.46E-2</v>
          </cell>
          <cell r="E157" t="str">
            <v>n/a</v>
          </cell>
          <cell r="F157" t="str">
            <v>n/a</v>
          </cell>
        </row>
        <row r="158">
          <cell r="A158" t="str">
            <v>QUAL</v>
          </cell>
          <cell r="B158">
            <v>43280</v>
          </cell>
          <cell r="C158">
            <v>1.5299999999999999E-2</v>
          </cell>
          <cell r="D158">
            <v>0.1794</v>
          </cell>
          <cell r="E158">
            <v>0.1203</v>
          </cell>
          <cell r="F158" t="str">
            <v>n/a</v>
          </cell>
        </row>
        <row r="159">
          <cell r="A159" t="str">
            <v>QUS</v>
          </cell>
          <cell r="B159">
            <v>43280</v>
          </cell>
          <cell r="C159">
            <v>2.1100000000000001E-2</v>
          </cell>
          <cell r="D159">
            <v>0.15340000000000001</v>
          </cell>
          <cell r="E159">
            <v>0.1085</v>
          </cell>
          <cell r="F159" t="str">
            <v>n/a</v>
          </cell>
        </row>
        <row r="160">
          <cell r="A160" t="str">
            <v>RARI</v>
          </cell>
          <cell r="B160">
            <v>43280</v>
          </cell>
          <cell r="C160">
            <v>3.2800000000000003E-2</v>
          </cell>
          <cell r="D160">
            <v>9.11E-2</v>
          </cell>
          <cell r="E160">
            <v>6.2300000000000001E-2</v>
          </cell>
          <cell r="F160" t="str">
            <v>n/a</v>
          </cell>
        </row>
        <row r="161">
          <cell r="A161" t="str">
            <v>RENT</v>
          </cell>
          <cell r="B161">
            <v>43280</v>
          </cell>
          <cell r="C161">
            <v>4.1200000000000001E-2</v>
          </cell>
          <cell r="D161">
            <v>9.8299999999999998E-2</v>
          </cell>
          <cell r="E161" t="str">
            <v>n/a</v>
          </cell>
          <cell r="F161" t="str">
            <v>n/a</v>
          </cell>
        </row>
        <row r="162">
          <cell r="A162" t="str">
            <v>RINC</v>
          </cell>
          <cell r="B162">
            <v>43280</v>
          </cell>
          <cell r="C162">
            <v>1.9900000000000001E-2</v>
          </cell>
          <cell r="D162" t="str">
            <v>n/a</v>
          </cell>
          <cell r="E162" t="str">
            <v>n/a</v>
          </cell>
          <cell r="F162" t="str">
            <v>n/a</v>
          </cell>
        </row>
        <row r="163">
          <cell r="A163" t="str">
            <v>ROBO</v>
          </cell>
          <cell r="B163">
            <v>43280</v>
          </cell>
          <cell r="C163">
            <v>-2.0400000000000001E-2</v>
          </cell>
          <cell r="D163" t="str">
            <v>n/a</v>
          </cell>
          <cell r="E163" t="str">
            <v>n/a</v>
          </cell>
          <cell r="F163" t="str">
            <v>n/a</v>
          </cell>
        </row>
        <row r="164">
          <cell r="A164" t="str">
            <v>SMLL</v>
          </cell>
          <cell r="B164">
            <v>43280</v>
          </cell>
          <cell r="C164">
            <v>1.7399999999999999E-2</v>
          </cell>
          <cell r="D164">
            <v>0.1651</v>
          </cell>
          <cell r="E164" t="str">
            <v>n/a</v>
          </cell>
          <cell r="F164" t="str">
            <v>n/a</v>
          </cell>
        </row>
        <row r="165">
          <cell r="A165" t="str">
            <v>SPY</v>
          </cell>
          <cell r="B165">
            <v>43280</v>
          </cell>
          <cell r="C165">
            <v>2.1899999999999999E-2</v>
          </cell>
          <cell r="D165">
            <v>0.19189999999999999</v>
          </cell>
          <cell r="E165">
            <v>0.12540000000000001</v>
          </cell>
          <cell r="F165" t="str">
            <v>n/a</v>
          </cell>
        </row>
        <row r="166">
          <cell r="A166" t="str">
            <v>SWTZ</v>
          </cell>
          <cell r="B166">
            <v>43280</v>
          </cell>
          <cell r="C166">
            <v>3.56E-2</v>
          </cell>
          <cell r="D166">
            <v>8.7900000000000006E-2</v>
          </cell>
          <cell r="E166" t="str">
            <v>n/a</v>
          </cell>
          <cell r="F166" t="str">
            <v>n/a</v>
          </cell>
        </row>
        <row r="167">
          <cell r="A167" t="str">
            <v>TECH</v>
          </cell>
          <cell r="B167">
            <v>43280</v>
          </cell>
          <cell r="C167">
            <v>1.7999999999999999E-2</v>
          </cell>
          <cell r="D167">
            <v>0.32579999999999998</v>
          </cell>
          <cell r="E167" t="str">
            <v>n/a</v>
          </cell>
          <cell r="F167" t="str">
            <v>n/a</v>
          </cell>
        </row>
        <row r="168">
          <cell r="A168" t="str">
            <v>UBA</v>
          </cell>
          <cell r="B168">
            <v>43280</v>
          </cell>
          <cell r="C168">
            <v>3.7699999999999997E-2</v>
          </cell>
          <cell r="D168">
            <v>0.1321</v>
          </cell>
          <cell r="E168">
            <v>8.4199999999999997E-2</v>
          </cell>
          <cell r="F168" t="str">
            <v>n/a</v>
          </cell>
        </row>
        <row r="169">
          <cell r="A169" t="str">
            <v>UBE</v>
          </cell>
          <cell r="B169">
            <v>43280</v>
          </cell>
          <cell r="C169">
            <v>-4.1000000000000003E-3</v>
          </cell>
          <cell r="D169">
            <v>8.4199999999999997E-2</v>
          </cell>
          <cell r="E169">
            <v>4.8300000000000003E-2</v>
          </cell>
          <cell r="F169" t="str">
            <v>n/a</v>
          </cell>
        </row>
        <row r="170">
          <cell r="A170" t="str">
            <v>UBJ</v>
          </cell>
          <cell r="B170">
            <v>43280</v>
          </cell>
          <cell r="C170">
            <v>6.4999999999999997E-3</v>
          </cell>
          <cell r="D170">
            <v>0.1731</v>
          </cell>
          <cell r="E170">
            <v>7.7299999999999994E-2</v>
          </cell>
          <cell r="F170" t="str">
            <v>n/a</v>
          </cell>
        </row>
        <row r="171">
          <cell r="A171" t="str">
            <v>UBP</v>
          </cell>
          <cell r="B171">
            <v>43280</v>
          </cell>
          <cell r="C171">
            <v>-3.85E-2</v>
          </cell>
          <cell r="D171">
            <v>0.1643</v>
          </cell>
          <cell r="E171">
            <v>0.11840000000000001</v>
          </cell>
          <cell r="F171" t="str">
            <v>n/a</v>
          </cell>
        </row>
        <row r="172">
          <cell r="A172" t="str">
            <v>UBU</v>
          </cell>
          <cell r="B172">
            <v>43280</v>
          </cell>
          <cell r="C172">
            <v>4.36E-2</v>
          </cell>
          <cell r="D172">
            <v>0.21990000000000001</v>
          </cell>
          <cell r="E172">
            <v>0.13289999999999999</v>
          </cell>
          <cell r="F172" t="str">
            <v>n/a</v>
          </cell>
        </row>
        <row r="173">
          <cell r="A173" t="str">
            <v>UBW</v>
          </cell>
          <cell r="B173">
            <v>43280</v>
          </cell>
          <cell r="C173">
            <v>1.4E-2</v>
          </cell>
          <cell r="D173">
            <v>0.1515</v>
          </cell>
          <cell r="E173">
            <v>9.1499999999999998E-2</v>
          </cell>
          <cell r="F173" t="str">
            <v>n/a</v>
          </cell>
        </row>
        <row r="174">
          <cell r="A174" t="str">
            <v>UMAX</v>
          </cell>
          <cell r="B174">
            <v>43280</v>
          </cell>
          <cell r="C174">
            <v>2.5499999999999998E-2</v>
          </cell>
          <cell r="D174">
            <v>0.13339999999999999</v>
          </cell>
          <cell r="E174">
            <v>9.5200000000000007E-2</v>
          </cell>
          <cell r="F174" t="str">
            <v>n/a</v>
          </cell>
        </row>
        <row r="175">
          <cell r="A175" t="str">
            <v>VACF</v>
          </cell>
          <cell r="B175">
            <v>43280</v>
          </cell>
          <cell r="C175">
            <v>3.7000000000000002E-3</v>
          </cell>
          <cell r="D175">
            <v>3.3500000000000002E-2</v>
          </cell>
          <cell r="E175" t="str">
            <v>n/a</v>
          </cell>
          <cell r="F175" t="str">
            <v>n/a</v>
          </cell>
        </row>
        <row r="176">
          <cell r="A176" t="str">
            <v>VAE</v>
          </cell>
          <cell r="B176">
            <v>43280</v>
          </cell>
          <cell r="C176">
            <v>-4.0899999999999999E-2</v>
          </cell>
          <cell r="D176">
            <v>0.1216</v>
          </cell>
          <cell r="E176" t="str">
            <v>n/a</v>
          </cell>
          <cell r="F176" t="str">
            <v>n/a</v>
          </cell>
        </row>
        <row r="177">
          <cell r="A177" t="str">
            <v>VBND</v>
          </cell>
          <cell r="B177">
            <v>43280</v>
          </cell>
          <cell r="C177">
            <v>2.5999999999999999E-3</v>
          </cell>
          <cell r="D177" t="str">
            <v>n/a</v>
          </cell>
          <cell r="E177" t="str">
            <v>n/a</v>
          </cell>
          <cell r="F177" t="str">
            <v>n/a</v>
          </cell>
        </row>
        <row r="178">
          <cell r="A178" t="str">
            <v>VCF</v>
          </cell>
          <cell r="B178">
            <v>43280</v>
          </cell>
          <cell r="C178">
            <v>3.5000000000000001E-3</v>
          </cell>
          <cell r="D178">
            <v>7.3000000000000001E-3</v>
          </cell>
          <cell r="E178" t="str">
            <v>n/a</v>
          </cell>
          <cell r="F178" t="str">
            <v>n/a</v>
          </cell>
        </row>
        <row r="179">
          <cell r="A179" t="str">
            <v>VDBA</v>
          </cell>
          <cell r="B179">
            <v>43280</v>
          </cell>
          <cell r="C179">
            <v>0.01</v>
          </cell>
          <cell r="D179" t="str">
            <v>n/a</v>
          </cell>
          <cell r="E179" t="str">
            <v>n/a</v>
          </cell>
          <cell r="F179" t="str">
            <v>n/a</v>
          </cell>
        </row>
        <row r="180">
          <cell r="A180" t="str">
            <v>VDCO</v>
          </cell>
          <cell r="B180">
            <v>43280</v>
          </cell>
          <cell r="C180">
            <v>8.3000000000000001E-3</v>
          </cell>
          <cell r="D180" t="str">
            <v>n/a</v>
          </cell>
          <cell r="E180" t="str">
            <v>n/a</v>
          </cell>
          <cell r="F180" t="str">
            <v>n/a</v>
          </cell>
        </row>
        <row r="181">
          <cell r="A181" t="str">
            <v>VDGR</v>
          </cell>
          <cell r="B181">
            <v>43280</v>
          </cell>
          <cell r="C181">
            <v>1.23E-2</v>
          </cell>
          <cell r="D181" t="str">
            <v>n/a</v>
          </cell>
          <cell r="E181" t="str">
            <v>n/a</v>
          </cell>
          <cell r="F181" t="str">
            <v>n/a</v>
          </cell>
        </row>
        <row r="182">
          <cell r="A182" t="str">
            <v>VDHG</v>
          </cell>
          <cell r="B182">
            <v>43280</v>
          </cell>
          <cell r="C182">
            <v>1.4800000000000001E-2</v>
          </cell>
          <cell r="D182" t="str">
            <v>n/a</v>
          </cell>
          <cell r="E182" t="str">
            <v>n/a</v>
          </cell>
          <cell r="F182" t="str">
            <v>n/a</v>
          </cell>
        </row>
        <row r="183">
          <cell r="A183" t="str">
            <v>VEQ</v>
          </cell>
          <cell r="B183">
            <v>43280</v>
          </cell>
          <cell r="C183">
            <v>-9.7999999999999997E-3</v>
          </cell>
          <cell r="D183">
            <v>8.0600000000000005E-2</v>
          </cell>
          <cell r="E183" t="str">
            <v>n/a</v>
          </cell>
          <cell r="F183" t="str">
            <v>n/a</v>
          </cell>
        </row>
        <row r="184">
          <cell r="A184" t="str">
            <v>VGAD</v>
          </cell>
          <cell r="B184">
            <v>43280</v>
          </cell>
          <cell r="C184">
            <v>-1.6000000000000001E-3</v>
          </cell>
          <cell r="D184">
            <v>0.1133</v>
          </cell>
          <cell r="E184">
            <v>9.1499999999999998E-2</v>
          </cell>
          <cell r="F184" t="str">
            <v>n/a</v>
          </cell>
        </row>
        <row r="185">
          <cell r="A185" t="str">
            <v>VGE</v>
          </cell>
          <cell r="B185">
            <v>43280</v>
          </cell>
          <cell r="C185">
            <v>-4.8099999999999997E-2</v>
          </cell>
          <cell r="D185">
            <v>8.6999999999999994E-2</v>
          </cell>
          <cell r="E185">
            <v>3.8800000000000001E-2</v>
          </cell>
          <cell r="F185" t="str">
            <v>n/a</v>
          </cell>
        </row>
        <row r="186">
          <cell r="A186" t="str">
            <v>VGS</v>
          </cell>
          <cell r="B186">
            <v>43280</v>
          </cell>
          <cell r="C186">
            <v>1.37E-2</v>
          </cell>
          <cell r="D186">
            <v>0.1547</v>
          </cell>
          <cell r="E186">
            <v>9.5200000000000007E-2</v>
          </cell>
          <cell r="F186" t="str">
            <v>n/a</v>
          </cell>
        </row>
        <row r="187">
          <cell r="A187" t="str">
            <v>VIF</v>
          </cell>
          <cell r="B187">
            <v>43280</v>
          </cell>
          <cell r="C187">
            <v>8.5000000000000006E-3</v>
          </cell>
          <cell r="D187">
            <v>2.23E-2</v>
          </cell>
          <cell r="E187" t="str">
            <v>n/a</v>
          </cell>
          <cell r="F187" t="str">
            <v>n/a</v>
          </cell>
        </row>
        <row r="188">
          <cell r="A188" t="str">
            <v>VMIN</v>
          </cell>
          <cell r="B188">
            <v>43280</v>
          </cell>
          <cell r="C188">
            <v>8.8999999999999999E-3</v>
          </cell>
          <cell r="D188" t="str">
            <v>n/a</v>
          </cell>
          <cell r="E188" t="str">
            <v>n/a</v>
          </cell>
          <cell r="F188" t="str">
            <v>n/a</v>
          </cell>
        </row>
        <row r="189">
          <cell r="A189" t="str">
            <v>VVLU</v>
          </cell>
          <cell r="B189">
            <v>43280</v>
          </cell>
          <cell r="C189">
            <v>2.5999999999999999E-3</v>
          </cell>
          <cell r="D189" t="str">
            <v>n/a</v>
          </cell>
          <cell r="E189" t="str">
            <v>n/a</v>
          </cell>
          <cell r="F189" t="str">
            <v>n/a</v>
          </cell>
        </row>
        <row r="190">
          <cell r="A190" t="str">
            <v>WDIV</v>
          </cell>
          <cell r="B190">
            <v>43280</v>
          </cell>
          <cell r="C190">
            <v>2.2499999999999999E-2</v>
          </cell>
          <cell r="D190">
            <v>0.1053</v>
          </cell>
          <cell r="E190">
            <v>7.0499999999999993E-2</v>
          </cell>
          <cell r="F190" t="str">
            <v>n/a</v>
          </cell>
        </row>
        <row r="191">
          <cell r="A191" t="str">
            <v>WDMF</v>
          </cell>
          <cell r="B191">
            <v>43280</v>
          </cell>
          <cell r="C191">
            <v>-7.1999999999999998E-3</v>
          </cell>
          <cell r="D191">
            <v>0.18490000000000001</v>
          </cell>
          <cell r="E191" t="str">
            <v>n/a</v>
          </cell>
          <cell r="F191" t="str">
            <v>n/a</v>
          </cell>
        </row>
        <row r="192">
          <cell r="A192" t="str">
            <v>WEMG</v>
          </cell>
          <cell r="B192">
            <v>43280</v>
          </cell>
          <cell r="C192">
            <v>-3.04E-2</v>
          </cell>
          <cell r="D192">
            <v>0.1109</v>
          </cell>
          <cell r="E192">
            <v>6.2E-2</v>
          </cell>
          <cell r="F192" t="str">
            <v>n/a</v>
          </cell>
        </row>
        <row r="193">
          <cell r="A193" t="str">
            <v>WRLD</v>
          </cell>
          <cell r="B193">
            <v>43280</v>
          </cell>
          <cell r="C193">
            <v>6.0000000000000001E-3</v>
          </cell>
          <cell r="D193">
            <v>0.11</v>
          </cell>
          <cell r="E193" t="str">
            <v>n/a</v>
          </cell>
          <cell r="F193" t="str">
            <v>n/a</v>
          </cell>
        </row>
        <row r="194">
          <cell r="A194" t="str">
            <v>WVOL</v>
          </cell>
          <cell r="B194">
            <v>43280</v>
          </cell>
          <cell r="C194">
            <v>3.3700000000000001E-2</v>
          </cell>
          <cell r="D194">
            <v>0.1177</v>
          </cell>
          <cell r="E194" t="str">
            <v>n/a</v>
          </cell>
          <cell r="F194" t="str">
            <v>n/a</v>
          </cell>
        </row>
        <row r="195">
          <cell r="A195" t="str">
            <v>WXHG</v>
          </cell>
          <cell r="B195">
            <v>43280</v>
          </cell>
          <cell r="C195">
            <v>-4.0000000000000001E-3</v>
          </cell>
          <cell r="D195">
            <v>0.1137</v>
          </cell>
          <cell r="E195">
            <v>9.7600000000000006E-2</v>
          </cell>
          <cell r="F195" t="str">
            <v>n/a</v>
          </cell>
        </row>
        <row r="196">
          <cell r="A196" t="str">
            <v>YANK</v>
          </cell>
          <cell r="B196">
            <v>43280</v>
          </cell>
          <cell r="C196">
            <v>6.0199999999999997E-2</v>
          </cell>
          <cell r="D196">
            <v>7.2300000000000003E-2</v>
          </cell>
          <cell r="E196" t="str">
            <v>n/a</v>
          </cell>
          <cell r="F196" t="str">
            <v>n/a</v>
          </cell>
        </row>
        <row r="197">
          <cell r="A197" t="str">
            <v>ZCNH</v>
          </cell>
          <cell r="B197">
            <v>43280</v>
          </cell>
          <cell r="C197">
            <v>8.9999999999999998E-4</v>
          </cell>
          <cell r="D197">
            <v>8.2100000000000006E-2</v>
          </cell>
          <cell r="E197">
            <v>2.9999999999999997E-4</v>
          </cell>
          <cell r="F197" t="str">
            <v>n/a</v>
          </cell>
        </row>
        <row r="198">
          <cell r="A198" t="str">
            <v>ZGOL</v>
          </cell>
          <cell r="B198">
            <v>43280</v>
          </cell>
          <cell r="C198">
            <v>-1.23E-2</v>
          </cell>
          <cell r="D198">
            <v>4.2000000000000003E-2</v>
          </cell>
          <cell r="E198">
            <v>3.1699999999999999E-2</v>
          </cell>
          <cell r="F198" t="str">
            <v>n/a</v>
          </cell>
        </row>
        <row r="199">
          <cell r="A199" t="str">
            <v>ZOZI</v>
          </cell>
          <cell r="B199">
            <v>43280</v>
          </cell>
          <cell r="C199">
            <v>2.3800000000000002E-2</v>
          </cell>
          <cell r="D199">
            <v>0.1236</v>
          </cell>
          <cell r="E199">
            <v>9.1300000000000006E-2</v>
          </cell>
          <cell r="F199" t="str">
            <v>n/a</v>
          </cell>
        </row>
        <row r="200">
          <cell r="A200" t="str">
            <v>ZUSD</v>
          </cell>
          <cell r="B200">
            <v>43280</v>
          </cell>
          <cell r="C200">
            <v>2.4799999999999999E-2</v>
          </cell>
          <cell r="D200">
            <v>5.4899999999999997E-2</v>
          </cell>
          <cell r="E200" t="str">
            <v>n/a</v>
          </cell>
          <cell r="F200" t="str">
            <v>n/a</v>
          </cell>
        </row>
        <row r="201">
          <cell r="A201" t="str">
            <v>ZYAU</v>
          </cell>
          <cell r="B201">
            <v>43280</v>
          </cell>
          <cell r="C201">
            <v>1.9599999999999999E-2</v>
          </cell>
          <cell r="D201">
            <v>9.9099999999999994E-2</v>
          </cell>
          <cell r="E201">
            <v>0.11650000000000001</v>
          </cell>
          <cell r="F201" t="str">
            <v>n/a</v>
          </cell>
        </row>
        <row r="202">
          <cell r="A202" t="str">
            <v>ZYUS</v>
          </cell>
          <cell r="B202">
            <v>43280</v>
          </cell>
          <cell r="C202">
            <v>4.9200000000000001E-2</v>
          </cell>
          <cell r="D202">
            <v>9.3600000000000003E-2</v>
          </cell>
          <cell r="E202">
            <v>0.13850000000000001</v>
          </cell>
          <cell r="F202" t="str">
            <v>n/a</v>
          </cell>
        </row>
        <row r="203">
          <cell r="A203" t="str">
            <v>YTMAGL</v>
          </cell>
          <cell r="B203">
            <v>43280</v>
          </cell>
          <cell r="C203">
            <v>5.0000000000000001E-3</v>
          </cell>
          <cell r="D203">
            <v>2.1999999999999999E-2</v>
          </cell>
          <cell r="E203" t="str">
            <v>n/a</v>
          </cell>
          <cell r="F203" t="str">
            <v>n/a</v>
          </cell>
        </row>
        <row r="204">
          <cell r="A204" t="str">
            <v>YTMAST</v>
          </cell>
          <cell r="B204">
            <v>43280</v>
          </cell>
          <cell r="C204">
            <v>5.4000000000000003E-3</v>
          </cell>
          <cell r="D204">
            <v>9.2999999999999992E-3</v>
          </cell>
          <cell r="E204" t="str">
            <v>n/a</v>
          </cell>
          <cell r="F204" t="str">
            <v>n/a</v>
          </cell>
        </row>
        <row r="205">
          <cell r="A205" t="str">
            <v>YTMAWC</v>
          </cell>
          <cell r="B205">
            <v>43280</v>
          </cell>
          <cell r="C205">
            <v>5.3E-3</v>
          </cell>
          <cell r="D205">
            <v>2.86E-2</v>
          </cell>
          <cell r="E205" t="str">
            <v>n/a</v>
          </cell>
          <cell r="F205" t="str">
            <v>n/a</v>
          </cell>
        </row>
        <row r="206">
          <cell r="A206" t="str">
            <v>YTMAZJ</v>
          </cell>
          <cell r="B206">
            <v>43280</v>
          </cell>
          <cell r="C206">
            <v>1.9E-3</v>
          </cell>
          <cell r="D206">
            <v>2.86E-2</v>
          </cell>
          <cell r="E206">
            <v>4.3900000000000002E-2</v>
          </cell>
          <cell r="F206" t="str">
            <v>n/a</v>
          </cell>
        </row>
        <row r="207">
          <cell r="A207" t="str">
            <v>YTMBH1</v>
          </cell>
          <cell r="B207">
            <v>43280</v>
          </cell>
          <cell r="C207">
            <v>1.5E-3</v>
          </cell>
          <cell r="D207">
            <v>1.8499999999999999E-2</v>
          </cell>
          <cell r="E207" t="str">
            <v>n/a</v>
          </cell>
          <cell r="F207" t="str">
            <v>n/a</v>
          </cell>
        </row>
        <row r="208">
          <cell r="A208" t="str">
            <v>YTMDOW</v>
          </cell>
          <cell r="B208">
            <v>43280</v>
          </cell>
          <cell r="C208">
            <v>-1.2999999999999999E-3</v>
          </cell>
          <cell r="D208">
            <v>1.66E-2</v>
          </cell>
          <cell r="E208" t="str">
            <v>n/a</v>
          </cell>
          <cell r="F208" t="str">
            <v>n/a</v>
          </cell>
        </row>
        <row r="209">
          <cell r="A209" t="str">
            <v>YTMDO1</v>
          </cell>
          <cell r="B209">
            <v>43280</v>
          </cell>
          <cell r="C209">
            <v>3.5000000000000001E-3</v>
          </cell>
          <cell r="D209">
            <v>3.3300000000000003E-2</v>
          </cell>
          <cell r="E209" t="str">
            <v>n/a</v>
          </cell>
          <cell r="F209" t="str">
            <v>n/a</v>
          </cell>
        </row>
        <row r="210">
          <cell r="A210" t="str">
            <v>YTMDXS</v>
          </cell>
          <cell r="B210">
            <v>43280</v>
          </cell>
          <cell r="C210">
            <v>-2.3099999999999999E-2</v>
          </cell>
          <cell r="D210">
            <v>1.4999999999999999E-2</v>
          </cell>
          <cell r="E210" t="str">
            <v>n/a</v>
          </cell>
          <cell r="F210" t="str">
            <v>n/a</v>
          </cell>
        </row>
        <row r="211">
          <cell r="A211" t="str">
            <v>YTMDX1</v>
          </cell>
          <cell r="B211">
            <v>43280</v>
          </cell>
          <cell r="C211">
            <v>5.5999999999999999E-3</v>
          </cell>
          <cell r="D211">
            <v>3.5299999999999998E-2</v>
          </cell>
          <cell r="E211" t="str">
            <v>n/a</v>
          </cell>
          <cell r="F211" t="str">
            <v>n/a</v>
          </cell>
        </row>
        <row r="212">
          <cell r="A212" t="str">
            <v>YTMGPT</v>
          </cell>
          <cell r="B212">
            <v>43280</v>
          </cell>
          <cell r="C212">
            <v>6.1999999999999998E-3</v>
          </cell>
          <cell r="D212">
            <v>-1.11E-2</v>
          </cell>
          <cell r="E212" t="str">
            <v>n/a</v>
          </cell>
          <cell r="F212" t="str">
            <v>n/a</v>
          </cell>
        </row>
        <row r="213">
          <cell r="A213" t="str">
            <v>YTMIPL</v>
          </cell>
          <cell r="B213">
            <v>43280</v>
          </cell>
          <cell r="C213">
            <v>5.7000000000000002E-3</v>
          </cell>
          <cell r="D213">
            <v>2.98E-2</v>
          </cell>
          <cell r="E213" t="str">
            <v>n/a</v>
          </cell>
          <cell r="F213" t="str">
            <v>n/a</v>
          </cell>
        </row>
        <row r="214">
          <cell r="A214" t="str">
            <v>YTMLLC</v>
          </cell>
          <cell r="B214">
            <v>43280</v>
          </cell>
          <cell r="C214">
            <v>2.9999999999999997E-4</v>
          </cell>
          <cell r="D214">
            <v>2.4299999999999999E-2</v>
          </cell>
          <cell r="E214">
            <v>3.5799999999999998E-2</v>
          </cell>
          <cell r="F214" t="str">
            <v>n/a</v>
          </cell>
        </row>
        <row r="215">
          <cell r="A215" t="str">
            <v>YTMLL1</v>
          </cell>
          <cell r="B215">
            <v>43280</v>
          </cell>
          <cell r="C215">
            <v>-3.0000000000000001E-3</v>
          </cell>
          <cell r="D215">
            <v>2.8899999999999999E-2</v>
          </cell>
          <cell r="E215">
            <v>4.4299999999999999E-2</v>
          </cell>
          <cell r="F215" t="str">
            <v>n/a</v>
          </cell>
        </row>
        <row r="216">
          <cell r="A216" t="str">
            <v>YTMMGR</v>
          </cell>
          <cell r="B216">
            <v>43280</v>
          </cell>
          <cell r="C216">
            <v>3.5999999999999999E-3</v>
          </cell>
          <cell r="D216">
            <v>2.75E-2</v>
          </cell>
          <cell r="E216">
            <v>3.2599999999999997E-2</v>
          </cell>
          <cell r="F216" t="str">
            <v>n/a</v>
          </cell>
        </row>
        <row r="217">
          <cell r="A217" t="str">
            <v>YTMSCG</v>
          </cell>
          <cell r="B217">
            <v>43280</v>
          </cell>
          <cell r="C217">
            <v>4.8999999999999998E-3</v>
          </cell>
          <cell r="D217">
            <v>2.1899999999999999E-2</v>
          </cell>
          <cell r="E217">
            <v>3.4599999999999999E-2</v>
          </cell>
          <cell r="F217" t="str">
            <v>n/a</v>
          </cell>
        </row>
        <row r="218">
          <cell r="A218" t="str">
            <v>YTMSGP</v>
          </cell>
          <cell r="B218">
            <v>43280</v>
          </cell>
          <cell r="C218">
            <v>-7.1000000000000004E-3</v>
          </cell>
          <cell r="D218">
            <v>1.5699999999999999E-2</v>
          </cell>
          <cell r="E218">
            <v>2.3400000000000001E-2</v>
          </cell>
          <cell r="F218" t="str">
            <v>n/a</v>
          </cell>
        </row>
        <row r="219">
          <cell r="A219" t="str">
            <v>YTMSG1</v>
          </cell>
          <cell r="B219">
            <v>43280</v>
          </cell>
          <cell r="C219">
            <v>4.0000000000000001E-3</v>
          </cell>
          <cell r="D219">
            <v>2.4400000000000002E-2</v>
          </cell>
          <cell r="E219">
            <v>4.3099999999999999E-2</v>
          </cell>
          <cell r="F219" t="str">
            <v>n/a</v>
          </cell>
        </row>
        <row r="220">
          <cell r="A220" t="str">
            <v>YTMTCL</v>
          </cell>
          <cell r="B220">
            <v>43280</v>
          </cell>
          <cell r="C220">
            <v>2.2700000000000001E-2</v>
          </cell>
          <cell r="D220" t="str">
            <v>n/a</v>
          </cell>
          <cell r="E220" t="str">
            <v>n/a</v>
          </cell>
          <cell r="F220" t="str">
            <v>n/a</v>
          </cell>
        </row>
        <row r="221">
          <cell r="A221" t="str">
            <v>YTMTLS</v>
          </cell>
          <cell r="B221">
            <v>43280</v>
          </cell>
          <cell r="C221">
            <v>-2.2000000000000001E-3</v>
          </cell>
          <cell r="D221">
            <v>1.7899999999999999E-2</v>
          </cell>
          <cell r="E221">
            <v>2.24E-2</v>
          </cell>
          <cell r="F221" t="str">
            <v>n/a</v>
          </cell>
        </row>
        <row r="222">
          <cell r="A222" t="str">
            <v>YTMTL1</v>
          </cell>
          <cell r="B222">
            <v>43280</v>
          </cell>
          <cell r="C222">
            <v>-5.5999999999999999E-3</v>
          </cell>
          <cell r="D222" t="str">
            <v>n/a</v>
          </cell>
          <cell r="E222" t="str">
            <v>n/a</v>
          </cell>
          <cell r="F222" t="str">
            <v>n/a</v>
          </cell>
        </row>
        <row r="223">
          <cell r="A223" t="str">
            <v>YTMWES</v>
          </cell>
          <cell r="B223">
            <v>43280</v>
          </cell>
          <cell r="C223">
            <v>1.1999999999999999E-3</v>
          </cell>
          <cell r="D223">
            <v>2.1399999999999999E-2</v>
          </cell>
          <cell r="E223">
            <v>1.8499999999999999E-2</v>
          </cell>
          <cell r="F223" t="str">
            <v>n/a</v>
          </cell>
        </row>
        <row r="224">
          <cell r="A224" t="str">
            <v>YTMWE1</v>
          </cell>
          <cell r="B224">
            <v>43280</v>
          </cell>
          <cell r="C224">
            <v>2.8999999999999998E-3</v>
          </cell>
          <cell r="D224">
            <v>2.6499999999999999E-2</v>
          </cell>
          <cell r="E224">
            <v>2.4799999999999999E-2</v>
          </cell>
          <cell r="F224" t="str">
            <v>n/a</v>
          </cell>
        </row>
        <row r="225">
          <cell r="A225" t="str">
            <v>YTMAPA</v>
          </cell>
          <cell r="B225">
            <v>43280</v>
          </cell>
          <cell r="C225">
            <v>2.7000000000000001E-3</v>
          </cell>
          <cell r="D225">
            <v>2.0500000000000001E-2</v>
          </cell>
          <cell r="E225" t="str">
            <v>n/a</v>
          </cell>
          <cell r="F225" t="str">
            <v>n/a</v>
          </cell>
        </row>
        <row r="226">
          <cell r="A226" t="str">
            <v>YTMAP1</v>
          </cell>
          <cell r="B226">
            <v>43280</v>
          </cell>
          <cell r="C226">
            <v>-1.6999999999999999E-3</v>
          </cell>
          <cell r="D226" t="str">
            <v>n/a</v>
          </cell>
          <cell r="E226" t="str">
            <v>n/a</v>
          </cell>
          <cell r="F226" t="str">
            <v>n/a</v>
          </cell>
        </row>
        <row r="227">
          <cell r="A227" t="str">
            <v>YTMGP1</v>
          </cell>
          <cell r="B227">
            <v>43280</v>
          </cell>
          <cell r="C227">
            <v>1.0999999999999999E-2</v>
          </cell>
          <cell r="D227" t="str">
            <v>n/a</v>
          </cell>
          <cell r="E227" t="str">
            <v>n/a</v>
          </cell>
          <cell r="F227" t="str">
            <v>n/a</v>
          </cell>
        </row>
        <row r="228">
          <cell r="A228" t="str">
            <v>YTMMG2</v>
          </cell>
          <cell r="B228">
            <v>43280</v>
          </cell>
          <cell r="C228">
            <v>1.04E-2</v>
          </cell>
          <cell r="D228" t="str">
            <v>n/a</v>
          </cell>
          <cell r="E228" t="str">
            <v>n/a</v>
          </cell>
          <cell r="F228" t="str">
            <v>n/a</v>
          </cell>
        </row>
        <row r="229">
          <cell r="A229" t="str">
            <v>YTMSG2</v>
          </cell>
          <cell r="B229">
            <v>43280</v>
          </cell>
          <cell r="C229">
            <v>3.0000000000000001E-3</v>
          </cell>
          <cell r="D229" t="str">
            <v>n/a</v>
          </cell>
          <cell r="E229" t="str">
            <v>n/a</v>
          </cell>
          <cell r="F229" t="str">
            <v>n/a</v>
          </cell>
        </row>
        <row r="230">
          <cell r="A230" t="str">
            <v>YTMCCA</v>
          </cell>
          <cell r="B230">
            <v>43280</v>
          </cell>
          <cell r="C230">
            <v>1.1000000000000001E-3</v>
          </cell>
          <cell r="D230">
            <v>1.6E-2</v>
          </cell>
          <cell r="E230" t="str">
            <v>n/a</v>
          </cell>
          <cell r="F230" t="str">
            <v>n/a</v>
          </cell>
        </row>
        <row r="231">
          <cell r="A231" t="str">
            <v>YTMCTX</v>
          </cell>
          <cell r="B231">
            <v>43280</v>
          </cell>
          <cell r="C231">
            <v>-6.9999999999999999E-4</v>
          </cell>
          <cell r="D231">
            <v>1.23E-2</v>
          </cell>
          <cell r="E231" t="str">
            <v>n/a</v>
          </cell>
          <cell r="F231" t="str">
            <v>n/a</v>
          </cell>
        </row>
        <row r="232">
          <cell r="A232" t="str">
            <v>YTMNAB</v>
          </cell>
          <cell r="B232">
            <v>43280</v>
          </cell>
          <cell r="C232">
            <v>0</v>
          </cell>
          <cell r="D232">
            <v>2.8299999999999999E-2</v>
          </cell>
          <cell r="E232" t="str">
            <v>n/a</v>
          </cell>
          <cell r="F232" t="str">
            <v>n/a</v>
          </cell>
        </row>
        <row r="233">
          <cell r="A233" t="str">
            <v>YTMQF1</v>
          </cell>
          <cell r="B233">
            <v>43280</v>
          </cell>
          <cell r="C233">
            <v>1.6000000000000001E-3</v>
          </cell>
          <cell r="D233">
            <v>2.52E-2</v>
          </cell>
          <cell r="E233" t="str">
            <v>n/a</v>
          </cell>
          <cell r="F233" t="str">
            <v>n/a</v>
          </cell>
        </row>
        <row r="234">
          <cell r="A234" t="str">
            <v>YTMQF2</v>
          </cell>
          <cell r="B234">
            <v>43280</v>
          </cell>
          <cell r="C234">
            <v>4.4999999999999997E-3</v>
          </cell>
          <cell r="D234">
            <v>3.4299999999999997E-2</v>
          </cell>
          <cell r="E234" t="str">
            <v>n/a</v>
          </cell>
          <cell r="F234" t="str">
            <v>n/a</v>
          </cell>
        </row>
        <row r="235">
          <cell r="A235" t="str">
            <v>YTMQF3</v>
          </cell>
          <cell r="B235">
            <v>43280</v>
          </cell>
          <cell r="C235">
            <v>2.3E-3</v>
          </cell>
          <cell r="D235">
            <v>3.8300000000000001E-2</v>
          </cell>
          <cell r="E235" t="str">
            <v>n/a</v>
          </cell>
          <cell r="F235" t="str">
            <v>n/a</v>
          </cell>
        </row>
        <row r="236">
          <cell r="A236" t="str">
            <v>YTMSYD</v>
          </cell>
          <cell r="B236">
            <v>43280</v>
          </cell>
          <cell r="C236">
            <v>3.95E-2</v>
          </cell>
          <cell r="D236">
            <v>4.6800000000000001E-2</v>
          </cell>
          <cell r="E236" t="str">
            <v>n/a</v>
          </cell>
          <cell r="F236" t="str">
            <v>n/a</v>
          </cell>
        </row>
        <row r="237">
          <cell r="A237" t="str">
            <v>YTMF04</v>
          </cell>
          <cell r="B237">
            <v>43280</v>
          </cell>
          <cell r="C237">
            <v>1.2999999999999999E-3</v>
          </cell>
          <cell r="D237">
            <v>1.7000000000000001E-2</v>
          </cell>
          <cell r="E237" t="str">
            <v>n/a</v>
          </cell>
          <cell r="F237" t="str">
            <v>n/a</v>
          </cell>
        </row>
        <row r="238">
          <cell r="A238" t="str">
            <v>YTMF05</v>
          </cell>
          <cell r="B238">
            <v>43280</v>
          </cell>
          <cell r="C238">
            <v>8.9999999999999998E-4</v>
          </cell>
          <cell r="D238">
            <v>2.2599999999999999E-2</v>
          </cell>
          <cell r="E238" t="str">
            <v>n/a</v>
          </cell>
          <cell r="F238" t="str">
            <v>n/a</v>
          </cell>
        </row>
        <row r="239">
          <cell r="A239" t="str">
            <v>YTMF06</v>
          </cell>
          <cell r="B239">
            <v>43280</v>
          </cell>
          <cell r="C239">
            <v>3.2000000000000002E-3</v>
          </cell>
          <cell r="D239">
            <v>2.3699999999999999E-2</v>
          </cell>
          <cell r="E239" t="str">
            <v>n/a</v>
          </cell>
          <cell r="F239" t="str">
            <v>n/a</v>
          </cell>
        </row>
        <row r="240">
          <cell r="A240" t="str">
            <v>YTMF07</v>
          </cell>
          <cell r="B240">
            <v>43280</v>
          </cell>
          <cell r="C240">
            <v>5.9999999999999995E-4</v>
          </cell>
          <cell r="D240">
            <v>2.29E-2</v>
          </cell>
          <cell r="E240" t="str">
            <v>n/a</v>
          </cell>
          <cell r="F240" t="str">
            <v>n/a</v>
          </cell>
        </row>
        <row r="241">
          <cell r="A241" t="str">
            <v>YTMF08</v>
          </cell>
          <cell r="B241">
            <v>43280</v>
          </cell>
          <cell r="C241">
            <v>8.0000000000000004E-4</v>
          </cell>
          <cell r="D241">
            <v>2.69E-2</v>
          </cell>
          <cell r="E241" t="str">
            <v>n/a</v>
          </cell>
          <cell r="F241" t="str">
            <v>n/a</v>
          </cell>
        </row>
        <row r="242">
          <cell r="A242" t="str">
            <v>YTMF09</v>
          </cell>
          <cell r="B242">
            <v>43280</v>
          </cell>
          <cell r="C242">
            <v>1.2999999999999999E-3</v>
          </cell>
          <cell r="D242">
            <v>2.5700000000000001E-2</v>
          </cell>
          <cell r="E242" t="str">
            <v>n/a</v>
          </cell>
          <cell r="F242" t="str">
            <v>n/a</v>
          </cell>
        </row>
        <row r="243">
          <cell r="A243" t="str">
            <v>YTMF10</v>
          </cell>
          <cell r="B243">
            <v>43280</v>
          </cell>
          <cell r="C243">
            <v>-6.4000000000000003E-3</v>
          </cell>
          <cell r="D243">
            <v>2.1399999999999999E-2</v>
          </cell>
          <cell r="E243" t="str">
            <v>n/a</v>
          </cell>
          <cell r="F243" t="str">
            <v>n/a</v>
          </cell>
        </row>
        <row r="244">
          <cell r="A244" t="str">
            <v>YTMF11</v>
          </cell>
          <cell r="B244">
            <v>43280</v>
          </cell>
          <cell r="C244">
            <v>1E-3</v>
          </cell>
          <cell r="D244">
            <v>2.3199999999999998E-2</v>
          </cell>
          <cell r="E244" t="str">
            <v>n/a</v>
          </cell>
          <cell r="F244" t="str">
            <v>n/a</v>
          </cell>
        </row>
        <row r="245">
          <cell r="A245" t="str">
            <v>YTMANZ</v>
          </cell>
          <cell r="B245">
            <v>43280</v>
          </cell>
          <cell r="C245">
            <v>-1.38E-2</v>
          </cell>
          <cell r="D245">
            <v>1.54E-2</v>
          </cell>
          <cell r="E245" t="str">
            <v>n/a</v>
          </cell>
          <cell r="F245" t="str">
            <v>n/a</v>
          </cell>
        </row>
        <row r="246">
          <cell r="A246" t="str">
            <v>YTMMQG</v>
          </cell>
          <cell r="B246">
            <v>43280</v>
          </cell>
          <cell r="C246">
            <v>0</v>
          </cell>
          <cell r="D246">
            <v>1.1599999999999999E-2</v>
          </cell>
          <cell r="E246" t="str">
            <v>n/a</v>
          </cell>
          <cell r="F246" t="str">
            <v>n/a</v>
          </cell>
        </row>
        <row r="247">
          <cell r="A247" t="str">
            <v>YTMNA1</v>
          </cell>
          <cell r="B247">
            <v>43280</v>
          </cell>
          <cell r="C247">
            <v>7.7999999999999996E-3</v>
          </cell>
          <cell r="D247">
            <v>2.4E-2</v>
          </cell>
          <cell r="E247" t="str">
            <v>n/a</v>
          </cell>
          <cell r="F247" t="str">
            <v>n/a</v>
          </cell>
        </row>
        <row r="248">
          <cell r="A248" t="str">
            <v>YTMWBC</v>
          </cell>
          <cell r="B248">
            <v>43280</v>
          </cell>
          <cell r="C248">
            <v>0</v>
          </cell>
          <cell r="D248">
            <v>1.4500000000000001E-2</v>
          </cell>
          <cell r="E248" t="str">
            <v>n/a</v>
          </cell>
          <cell r="F248" t="str">
            <v>n/a</v>
          </cell>
        </row>
        <row r="249">
          <cell r="A249" t="str">
            <v>YTMWB1</v>
          </cell>
          <cell r="B249">
            <v>43280</v>
          </cell>
          <cell r="C249">
            <v>2.3E-3</v>
          </cell>
          <cell r="D249">
            <v>1.7899999999999999E-2</v>
          </cell>
          <cell r="E249" t="str">
            <v>n/a</v>
          </cell>
          <cell r="F249" t="str">
            <v>n/a</v>
          </cell>
        </row>
        <row r="250">
          <cell r="A250" t="str">
            <v>YTMWOW</v>
          </cell>
          <cell r="B250">
            <v>43280</v>
          </cell>
          <cell r="C250">
            <v>4.3E-3</v>
          </cell>
          <cell r="D250">
            <v>2.3300000000000001E-2</v>
          </cell>
          <cell r="E250">
            <v>1.9699999999999999E-2</v>
          </cell>
          <cell r="F250" t="str">
            <v>n/a</v>
          </cell>
        </row>
        <row r="251">
          <cell r="A251" t="str">
            <v>LTN</v>
          </cell>
          <cell r="B251">
            <v>43280</v>
          </cell>
          <cell r="C251">
            <v>0</v>
          </cell>
          <cell r="D251">
            <v>5.014903129657227E-3</v>
          </cell>
          <cell r="E251">
            <v>1.4141940537480302E-3</v>
          </cell>
          <cell r="F251">
            <v>1.2085714672933755E-3</v>
          </cell>
        </row>
        <row r="252">
          <cell r="A252" t="str">
            <v>BSN</v>
          </cell>
          <cell r="B252">
            <v>43280</v>
          </cell>
          <cell r="C252">
            <v>0</v>
          </cell>
          <cell r="D252">
            <v>-6.428387760349704E-3</v>
          </cell>
          <cell r="E252">
            <v>6.0241037997019855E-3</v>
          </cell>
          <cell r="F252">
            <v>2.147720821888144E-3</v>
          </cell>
        </row>
        <row r="253">
          <cell r="A253" t="str">
            <v>ZER</v>
          </cell>
          <cell r="B253">
            <v>43280</v>
          </cell>
          <cell r="C253">
            <v>6.5799999999999997E-2</v>
          </cell>
          <cell r="D253">
            <v>9.4600000000000004E-2</v>
          </cell>
          <cell r="E253">
            <v>4.1000000000000003E-3</v>
          </cell>
          <cell r="F253">
            <v>6.4000000000000003E-3</v>
          </cell>
        </row>
        <row r="254">
          <cell r="A254" t="str">
            <v>QAU</v>
          </cell>
          <cell r="B254">
            <v>43280</v>
          </cell>
          <cell r="C254">
            <v>-3.9E-2</v>
          </cell>
          <cell r="D254">
            <v>-1.1599999999999999E-2</v>
          </cell>
          <cell r="E254">
            <v>1.38E-2</v>
          </cell>
          <cell r="F254">
            <v>6.4000000000000003E-3</v>
          </cell>
        </row>
        <row r="255">
          <cell r="A255" t="str">
            <v>ETPMAG</v>
          </cell>
          <cell r="B255">
            <v>43280</v>
          </cell>
          <cell r="C255">
            <v>-1.4E-3</v>
          </cell>
          <cell r="D255">
            <v>-1E-3</v>
          </cell>
          <cell r="E255">
            <v>1.77E-2</v>
          </cell>
          <cell r="F255">
            <v>1.1299999999999999E-2</v>
          </cell>
        </row>
        <row r="256">
          <cell r="A256" t="str">
            <v>DJW</v>
          </cell>
          <cell r="B256">
            <v>43280</v>
          </cell>
          <cell r="C256">
            <v>-2.8799999999999999E-2</v>
          </cell>
          <cell r="D256">
            <v>-2.8400000000000002E-2</v>
          </cell>
          <cell r="E256">
            <v>-4.8000000000000001E-2</v>
          </cell>
          <cell r="F256">
            <v>1.2800000000000001E-2</v>
          </cell>
        </row>
        <row r="257">
          <cell r="A257" t="str">
            <v>POU</v>
          </cell>
          <cell r="B257">
            <v>43280</v>
          </cell>
          <cell r="C257">
            <v>5.7000000000000002E-3</v>
          </cell>
          <cell r="D257">
            <v>5.0200000000000002E-2</v>
          </cell>
          <cell r="E257">
            <v>-4.8500000000000001E-2</v>
          </cell>
          <cell r="F257">
            <v>1.32E-2</v>
          </cell>
        </row>
        <row r="258">
          <cell r="A258" t="str">
            <v>EEU</v>
          </cell>
          <cell r="B258">
            <v>43280</v>
          </cell>
          <cell r="C258">
            <v>1.3299999999999999E-2</v>
          </cell>
          <cell r="D258">
            <v>4.8899999999999999E-2</v>
          </cell>
          <cell r="E258">
            <v>0.02</v>
          </cell>
          <cell r="F258">
            <v>1.6299999999999999E-2</v>
          </cell>
        </row>
        <row r="259">
          <cell r="A259" t="str">
            <v>CAM</v>
          </cell>
          <cell r="B259">
            <v>43280</v>
          </cell>
          <cell r="C259">
            <v>1.7600000000000001E-2</v>
          </cell>
          <cell r="D259">
            <v>5.2600000000000001E-2</v>
          </cell>
          <cell r="E259">
            <v>4.2299999999999997E-2</v>
          </cell>
          <cell r="F259">
            <v>2.0799999999999999E-2</v>
          </cell>
        </row>
        <row r="260">
          <cell r="A260" t="str">
            <v>URF</v>
          </cell>
          <cell r="B260">
            <v>43280</v>
          </cell>
          <cell r="C260">
            <v>-6.4999999999999997E-3</v>
          </cell>
          <cell r="D260">
            <v>-0.111</v>
          </cell>
          <cell r="E260">
            <v>-5.4699999999999999E-2</v>
          </cell>
          <cell r="F260">
            <v>2.12E-2</v>
          </cell>
        </row>
        <row r="261">
          <cell r="A261" t="str">
            <v>NSC</v>
          </cell>
          <cell r="B261">
            <v>43280</v>
          </cell>
          <cell r="C261">
            <v>-4.9700000000000001E-2</v>
          </cell>
          <cell r="D261">
            <v>-8.7800000000000003E-2</v>
          </cell>
          <cell r="E261">
            <v>-4.6300000000000001E-2</v>
          </cell>
          <cell r="F261">
            <v>2.1600000000000001E-2</v>
          </cell>
        </row>
        <row r="262">
          <cell r="A262" t="str">
            <v>MAX</v>
          </cell>
          <cell r="B262">
            <v>43280</v>
          </cell>
          <cell r="C262">
            <v>0</v>
          </cell>
          <cell r="D262">
            <v>-1.2E-2</v>
          </cell>
          <cell r="E262">
            <v>2.5399999999999999E-2</v>
          </cell>
          <cell r="F262">
            <v>2.1999999999999999E-2</v>
          </cell>
        </row>
        <row r="263">
          <cell r="A263" t="str">
            <v>AAA</v>
          </cell>
          <cell r="B263">
            <v>43280</v>
          </cell>
          <cell r="C263">
            <v>1.6999999999999999E-3</v>
          </cell>
          <cell r="D263">
            <v>1.9900000000000001E-2</v>
          </cell>
          <cell r="E263">
            <v>2.1999999999999999E-2</v>
          </cell>
          <cell r="F263">
            <v>2.63E-2</v>
          </cell>
        </row>
        <row r="264">
          <cell r="A264" t="str">
            <v>ETPMPM</v>
          </cell>
          <cell r="B264">
            <v>43280</v>
          </cell>
          <cell r="C264">
            <v>-1.5900000000000001E-2</v>
          </cell>
          <cell r="D264">
            <v>2.7099999999999999E-2</v>
          </cell>
          <cell r="E264">
            <v>2.86E-2</v>
          </cell>
          <cell r="F264">
            <v>3.0200000000000001E-2</v>
          </cell>
        </row>
        <row r="265">
          <cell r="A265" t="str">
            <v>SVS</v>
          </cell>
          <cell r="B265">
            <v>43280</v>
          </cell>
          <cell r="C265">
            <v>0</v>
          </cell>
          <cell r="D265">
            <v>5.5500000000000001E-2</v>
          </cell>
          <cell r="E265">
            <v>-4.7699999999999999E-2</v>
          </cell>
          <cell r="F265">
            <v>3.5000000000000003E-2</v>
          </cell>
        </row>
        <row r="266">
          <cell r="A266" t="str">
            <v>RCB</v>
          </cell>
          <cell r="B266">
            <v>43280</v>
          </cell>
          <cell r="C266">
            <v>0</v>
          </cell>
          <cell r="D266">
            <v>2.24E-2</v>
          </cell>
          <cell r="E266">
            <v>3.1600000000000003E-2</v>
          </cell>
          <cell r="F266">
            <v>3.6700000000000003E-2</v>
          </cell>
        </row>
        <row r="267">
          <cell r="A267" t="str">
            <v>IGB</v>
          </cell>
          <cell r="B267">
            <v>43280</v>
          </cell>
          <cell r="C267">
            <v>8.5000000000000006E-3</v>
          </cell>
          <cell r="D267">
            <v>2.5100000000000001E-2</v>
          </cell>
          <cell r="E267">
            <v>2.7300000000000001E-2</v>
          </cell>
          <cell r="F267">
            <v>3.6999999999999998E-2</v>
          </cell>
        </row>
        <row r="268">
          <cell r="A268" t="str">
            <v>IHD</v>
          </cell>
          <cell r="B268">
            <v>43280</v>
          </cell>
          <cell r="C268">
            <v>3.39E-2</v>
          </cell>
          <cell r="D268">
            <v>5.5899999999999998E-2</v>
          </cell>
          <cell r="E268">
            <v>2.7099999999999999E-2</v>
          </cell>
          <cell r="F268">
            <v>3.8300000000000001E-2</v>
          </cell>
        </row>
        <row r="269">
          <cell r="A269" t="str">
            <v>RSM</v>
          </cell>
          <cell r="B269">
            <v>43280</v>
          </cell>
          <cell r="C269">
            <v>3.0000000000000001E-3</v>
          </cell>
          <cell r="D269">
            <v>2.07E-2</v>
          </cell>
          <cell r="E269">
            <v>2.5499999999999998E-2</v>
          </cell>
          <cell r="F269">
            <v>3.8600000000000002E-2</v>
          </cell>
        </row>
        <row r="270">
          <cell r="A270" t="str">
            <v>GOVT</v>
          </cell>
          <cell r="B270">
            <v>43280</v>
          </cell>
          <cell r="C270">
            <v>1.44E-2</v>
          </cell>
          <cell r="D270">
            <v>3.1E-2</v>
          </cell>
          <cell r="E270">
            <v>3.1699999999999999E-2</v>
          </cell>
          <cell r="F270">
            <v>3.9699999999999999E-2</v>
          </cell>
        </row>
        <row r="271">
          <cell r="A271" t="str">
            <v>IAF</v>
          </cell>
          <cell r="B271">
            <v>43280</v>
          </cell>
          <cell r="C271">
            <v>7.1000000000000004E-3</v>
          </cell>
          <cell r="D271">
            <v>2.8299999999999999E-2</v>
          </cell>
          <cell r="E271">
            <v>2.9700000000000001E-2</v>
          </cell>
          <cell r="F271">
            <v>4.0599999999999997E-2</v>
          </cell>
        </row>
        <row r="272">
          <cell r="A272" t="str">
            <v>VGB</v>
          </cell>
          <cell r="B272">
            <v>43280</v>
          </cell>
          <cell r="C272">
            <v>7.3000000000000001E-3</v>
          </cell>
          <cell r="D272">
            <v>2.58E-2</v>
          </cell>
          <cell r="E272">
            <v>3.0200000000000001E-2</v>
          </cell>
          <cell r="F272">
            <v>4.1799999999999997E-2</v>
          </cell>
        </row>
        <row r="273">
          <cell r="A273" t="str">
            <v>BOND</v>
          </cell>
          <cell r="B273">
            <v>43280</v>
          </cell>
          <cell r="C273">
            <v>6.1999999999999998E-3</v>
          </cell>
          <cell r="D273">
            <v>2.5700000000000001E-2</v>
          </cell>
          <cell r="E273">
            <v>2.93E-2</v>
          </cell>
          <cell r="F273">
            <v>4.19E-2</v>
          </cell>
        </row>
        <row r="274">
          <cell r="A274" t="str">
            <v>VAF</v>
          </cell>
          <cell r="B274">
            <v>43280</v>
          </cell>
          <cell r="C274">
            <v>6.0000000000000001E-3</v>
          </cell>
          <cell r="D274">
            <v>2.7300000000000001E-2</v>
          </cell>
          <cell r="E274">
            <v>3.1E-2</v>
          </cell>
          <cell r="F274">
            <v>4.2299999999999997E-2</v>
          </cell>
        </row>
        <row r="275">
          <cell r="A275" t="str">
            <v>RGB</v>
          </cell>
          <cell r="B275">
            <v>43280</v>
          </cell>
          <cell r="C275">
            <v>9.1999999999999998E-3</v>
          </cell>
          <cell r="D275">
            <v>2.29E-2</v>
          </cell>
          <cell r="E275">
            <v>0.03</v>
          </cell>
          <cell r="F275">
            <v>4.2700000000000002E-2</v>
          </cell>
        </row>
        <row r="276">
          <cell r="A276" t="str">
            <v>IBC</v>
          </cell>
          <cell r="B276">
            <v>43280</v>
          </cell>
          <cell r="C276">
            <v>0</v>
          </cell>
          <cell r="D276">
            <v>1.61E-2</v>
          </cell>
          <cell r="E276">
            <v>2.0899999999999998E-2</v>
          </cell>
          <cell r="F276">
            <v>4.3900000000000002E-2</v>
          </cell>
        </row>
        <row r="277">
          <cell r="A277" t="str">
            <v>USD</v>
          </cell>
          <cell r="B277">
            <v>43280</v>
          </cell>
          <cell r="C277">
            <v>2.1499999999999998E-2</v>
          </cell>
          <cell r="D277">
            <v>4.5199999999999997E-2</v>
          </cell>
          <cell r="E277">
            <v>1.2699999999999999E-2</v>
          </cell>
          <cell r="F277">
            <v>4.41E-2</v>
          </cell>
        </row>
        <row r="278">
          <cell r="A278" t="str">
            <v>AYF</v>
          </cell>
          <cell r="B278">
            <v>43280</v>
          </cell>
          <cell r="C278">
            <v>1E-3</v>
          </cell>
          <cell r="D278">
            <v>-4.0000000000000002E-4</v>
          </cell>
          <cell r="E278">
            <v>4.41E-2</v>
          </cell>
          <cell r="F278">
            <v>4.4200000000000003E-2</v>
          </cell>
        </row>
        <row r="279">
          <cell r="A279" t="str">
            <v>ILB</v>
          </cell>
          <cell r="B279">
            <v>43280</v>
          </cell>
          <cell r="C279">
            <v>1.2200000000000001E-2</v>
          </cell>
          <cell r="D279">
            <v>3.8699999999999998E-2</v>
          </cell>
          <cell r="E279">
            <v>2.4199999999999999E-2</v>
          </cell>
          <cell r="F279">
            <v>4.5199999999999997E-2</v>
          </cell>
        </row>
        <row r="280">
          <cell r="A280" t="str">
            <v>CMI</v>
          </cell>
          <cell r="B280">
            <v>43280</v>
          </cell>
          <cell r="C280">
            <v>0</v>
          </cell>
          <cell r="D280">
            <v>0.38819999999999999</v>
          </cell>
          <cell r="E280">
            <v>5.4999999999999997E-3</v>
          </cell>
          <cell r="F280">
            <v>4.5699999999999998E-2</v>
          </cell>
        </row>
        <row r="281">
          <cell r="A281" t="str">
            <v>GOLD</v>
          </cell>
          <cell r="B281">
            <v>43280</v>
          </cell>
          <cell r="C281">
            <v>-1.7299999999999999E-2</v>
          </cell>
          <cell r="D281">
            <v>4.1599999999999998E-2</v>
          </cell>
          <cell r="E281">
            <v>2.9499999999999998E-2</v>
          </cell>
          <cell r="F281">
            <v>4.9700000000000001E-2</v>
          </cell>
        </row>
        <row r="282">
          <cell r="A282" t="str">
            <v>CLF</v>
          </cell>
          <cell r="B282">
            <v>43280</v>
          </cell>
          <cell r="C282">
            <v>2.24E-2</v>
          </cell>
          <cell r="D282">
            <v>0.10340000000000001</v>
          </cell>
          <cell r="E282">
            <v>8.1000000000000003E-2</v>
          </cell>
          <cell r="F282">
            <v>5.0299999999999997E-2</v>
          </cell>
        </row>
        <row r="283">
          <cell r="A283" t="str">
            <v>KAT</v>
          </cell>
          <cell r="B283">
            <v>43280</v>
          </cell>
          <cell r="C283">
            <v>2.01E-2</v>
          </cell>
          <cell r="D283">
            <v>0.1094</v>
          </cell>
          <cell r="E283">
            <v>2.4299999999999999E-2</v>
          </cell>
          <cell r="F283">
            <v>5.1200000000000002E-2</v>
          </cell>
        </row>
        <row r="284">
          <cell r="A284" t="str">
            <v>YMAX</v>
          </cell>
          <cell r="B284">
            <v>43280</v>
          </cell>
          <cell r="C284">
            <v>2.7199999999999998E-2</v>
          </cell>
          <cell r="D284">
            <v>7.9500000000000001E-2</v>
          </cell>
          <cell r="E284">
            <v>4.1799999999999997E-2</v>
          </cell>
          <cell r="F284">
            <v>5.16E-2</v>
          </cell>
        </row>
        <row r="285">
          <cell r="A285" t="str">
            <v>PMGOLD</v>
          </cell>
          <cell r="B285">
            <v>43280</v>
          </cell>
          <cell r="C285">
            <v>-1.7999999999999999E-2</v>
          </cell>
          <cell r="D285">
            <v>5.1499999999999997E-2</v>
          </cell>
          <cell r="E285">
            <v>3.5799999999999998E-2</v>
          </cell>
          <cell r="F285">
            <v>5.5300000000000002E-2</v>
          </cell>
        </row>
        <row r="286">
          <cell r="A286" t="str">
            <v>AQF</v>
          </cell>
          <cell r="B286">
            <v>43280</v>
          </cell>
          <cell r="C286">
            <v>2.7799999999999998E-2</v>
          </cell>
          <cell r="D286">
            <v>3.0599999999999999E-2</v>
          </cell>
          <cell r="E286">
            <v>2.2700000000000001E-2</v>
          </cell>
          <cell r="F286">
            <v>5.9700000000000003E-2</v>
          </cell>
        </row>
        <row r="287">
          <cell r="A287" t="str">
            <v>BKI</v>
          </cell>
          <cell r="B287">
            <v>43280</v>
          </cell>
          <cell r="C287">
            <v>6.4999999999999997E-3</v>
          </cell>
          <cell r="D287">
            <v>-1.5900000000000001E-2</v>
          </cell>
          <cell r="E287">
            <v>1.55E-2</v>
          </cell>
          <cell r="F287">
            <v>6.0199999999999997E-2</v>
          </cell>
        </row>
        <row r="288">
          <cell r="A288" t="str">
            <v>AIQ</v>
          </cell>
          <cell r="B288">
            <v>43280</v>
          </cell>
          <cell r="C288">
            <v>1.1900000000000001E-2</v>
          </cell>
          <cell r="D288">
            <v>6.2399999999999997E-2</v>
          </cell>
          <cell r="E288">
            <v>-5.2299999999999999E-2</v>
          </cell>
          <cell r="F288">
            <v>6.2199999999999998E-2</v>
          </cell>
        </row>
        <row r="289">
          <cell r="A289" t="str">
            <v>VHY</v>
          </cell>
          <cell r="B289">
            <v>43280</v>
          </cell>
          <cell r="C289">
            <v>3.3300000000000003E-2</v>
          </cell>
          <cell r="D289">
            <v>2.75E-2</v>
          </cell>
          <cell r="E289">
            <v>3.9600000000000003E-2</v>
          </cell>
          <cell r="F289">
            <v>6.4100000000000004E-2</v>
          </cell>
        </row>
        <row r="290">
          <cell r="A290" t="str">
            <v>SYI</v>
          </cell>
          <cell r="B290">
            <v>43280</v>
          </cell>
          <cell r="C290">
            <v>1.7100000000000001E-2</v>
          </cell>
          <cell r="D290">
            <v>4.1700000000000001E-2</v>
          </cell>
          <cell r="E290">
            <v>4.9200000000000001E-2</v>
          </cell>
          <cell r="F290">
            <v>6.4399999999999999E-2</v>
          </cell>
        </row>
        <row r="291">
          <cell r="A291" t="str">
            <v>AFI</v>
          </cell>
          <cell r="B291">
            <v>43280</v>
          </cell>
          <cell r="C291">
            <v>2.3199999999999998E-2</v>
          </cell>
          <cell r="D291">
            <v>0.10340000000000001</v>
          </cell>
          <cell r="E291">
            <v>4.4200000000000003E-2</v>
          </cell>
          <cell r="F291">
            <v>6.6500000000000004E-2</v>
          </cell>
        </row>
        <row r="292">
          <cell r="A292" t="str">
            <v>WAA</v>
          </cell>
          <cell r="B292">
            <v>43280</v>
          </cell>
          <cell r="C292">
            <v>9.1000000000000004E-3</v>
          </cell>
          <cell r="D292">
            <v>5.5300000000000002E-2</v>
          </cell>
          <cell r="E292">
            <v>0.1033</v>
          </cell>
          <cell r="F292">
            <v>6.6900000000000001E-2</v>
          </cell>
        </row>
        <row r="293">
          <cell r="A293" t="str">
            <v>CDM</v>
          </cell>
          <cell r="B293">
            <v>43280</v>
          </cell>
          <cell r="C293">
            <v>-1.9599999999999999E-2</v>
          </cell>
          <cell r="D293">
            <v>7.5800000000000006E-2</v>
          </cell>
          <cell r="E293">
            <v>3.56E-2</v>
          </cell>
          <cell r="F293">
            <v>6.88E-2</v>
          </cell>
        </row>
        <row r="294">
          <cell r="A294" t="str">
            <v>EMF</v>
          </cell>
          <cell r="B294">
            <v>43280</v>
          </cell>
          <cell r="C294">
            <v>-2.12E-2</v>
          </cell>
          <cell r="D294">
            <v>4.7399999999999998E-2</v>
          </cell>
          <cell r="E294">
            <v>1.6799999999999999E-2</v>
          </cell>
          <cell r="F294">
            <v>6.9199999999999998E-2</v>
          </cell>
        </row>
        <row r="295">
          <cell r="A295" t="str">
            <v>ILC</v>
          </cell>
          <cell r="B295">
            <v>43280</v>
          </cell>
          <cell r="C295">
            <v>3.8399999999999997E-2</v>
          </cell>
          <cell r="D295">
            <v>0.1104</v>
          </cell>
          <cell r="E295">
            <v>4.9700000000000001E-2</v>
          </cell>
          <cell r="F295">
            <v>7.1300000000000002E-2</v>
          </cell>
        </row>
        <row r="296">
          <cell r="A296" t="str">
            <v>IPE</v>
          </cell>
          <cell r="B296">
            <v>43280</v>
          </cell>
          <cell r="C296">
            <v>0.18770000000000001</v>
          </cell>
          <cell r="D296">
            <v>7.22E-2</v>
          </cell>
          <cell r="E296">
            <v>2.6499999999999999E-2</v>
          </cell>
          <cell r="F296">
            <v>7.22E-2</v>
          </cell>
        </row>
        <row r="297">
          <cell r="A297" t="str">
            <v>RDV</v>
          </cell>
          <cell r="B297">
            <v>43280</v>
          </cell>
          <cell r="C297">
            <v>1.7999999999999999E-2</v>
          </cell>
          <cell r="D297">
            <v>4.3299999999999998E-2</v>
          </cell>
          <cell r="E297">
            <v>4.6199999999999998E-2</v>
          </cell>
          <cell r="F297">
            <v>7.3700000000000002E-2</v>
          </cell>
        </row>
        <row r="298">
          <cell r="A298" t="str">
            <v>QFN</v>
          </cell>
          <cell r="B298">
            <v>43280</v>
          </cell>
          <cell r="C298">
            <v>3.3700000000000001E-2</v>
          </cell>
          <cell r="D298">
            <v>1.4500000000000001E-2</v>
          </cell>
          <cell r="E298">
            <v>3.3500000000000002E-2</v>
          </cell>
          <cell r="F298">
            <v>7.4999999999999997E-2</v>
          </cell>
        </row>
        <row r="299">
          <cell r="A299" t="str">
            <v>VLC</v>
          </cell>
          <cell r="B299">
            <v>43280</v>
          </cell>
          <cell r="C299">
            <v>3.3000000000000002E-2</v>
          </cell>
          <cell r="D299">
            <v>0.1052</v>
          </cell>
          <cell r="E299">
            <v>5.9499999999999997E-2</v>
          </cell>
          <cell r="F299">
            <v>7.4999999999999997E-2</v>
          </cell>
        </row>
        <row r="300">
          <cell r="A300" t="str">
            <v>OZF</v>
          </cell>
          <cell r="B300">
            <v>43280</v>
          </cell>
          <cell r="C300">
            <v>2.9399999999999999E-2</v>
          </cell>
          <cell r="D300">
            <v>1.67E-2</v>
          </cell>
          <cell r="E300">
            <v>3.61E-2</v>
          </cell>
          <cell r="F300">
            <v>7.6300000000000007E-2</v>
          </cell>
        </row>
        <row r="301">
          <cell r="A301" t="str">
            <v>ETF</v>
          </cell>
          <cell r="B301">
            <v>43280</v>
          </cell>
          <cell r="C301">
            <v>5.4600000000000003E-2</v>
          </cell>
          <cell r="D301">
            <v>7.6799999999999993E-2</v>
          </cell>
          <cell r="E301">
            <v>5.74E-2</v>
          </cell>
          <cell r="F301">
            <v>7.7100000000000002E-2</v>
          </cell>
        </row>
        <row r="302">
          <cell r="A302" t="str">
            <v>CD1</v>
          </cell>
          <cell r="B302">
            <v>43280</v>
          </cell>
          <cell r="C302">
            <v>-3.3399999999999999E-2</v>
          </cell>
          <cell r="D302">
            <v>-9.2999999999999992E-3</v>
          </cell>
          <cell r="E302">
            <v>2.87E-2</v>
          </cell>
          <cell r="F302">
            <v>7.9200000000000007E-2</v>
          </cell>
        </row>
        <row r="303">
          <cell r="A303" t="str">
            <v>AMH</v>
          </cell>
          <cell r="B303">
            <v>43280</v>
          </cell>
          <cell r="C303">
            <v>3.2199999999999999E-2</v>
          </cell>
          <cell r="D303">
            <v>9.1499999999999998E-2</v>
          </cell>
          <cell r="E303">
            <v>6.4500000000000002E-2</v>
          </cell>
          <cell r="F303">
            <v>7.9699999999999993E-2</v>
          </cell>
        </row>
        <row r="304">
          <cell r="A304" t="str">
            <v>OZR</v>
          </cell>
          <cell r="B304">
            <v>43280</v>
          </cell>
          <cell r="C304">
            <v>5.33E-2</v>
          </cell>
          <cell r="D304">
            <v>0.40210000000000001</v>
          </cell>
          <cell r="E304">
            <v>0.14729999999999999</v>
          </cell>
          <cell r="F304">
            <v>8.0100000000000005E-2</v>
          </cell>
        </row>
        <row r="305">
          <cell r="A305" t="str">
            <v>CD2</v>
          </cell>
          <cell r="B305">
            <v>43280</v>
          </cell>
          <cell r="C305">
            <v>4.8999999999999998E-3</v>
          </cell>
          <cell r="D305">
            <v>8.7400000000000005E-2</v>
          </cell>
          <cell r="E305">
            <v>5.33E-2</v>
          </cell>
          <cell r="F305">
            <v>8.0399999999999999E-2</v>
          </cell>
        </row>
        <row r="306">
          <cell r="A306" t="str">
            <v>VCX</v>
          </cell>
          <cell r="B306">
            <v>43280</v>
          </cell>
          <cell r="C306">
            <v>-6.8999999999999999E-3</v>
          </cell>
          <cell r="D306">
            <v>7.0599999999999996E-2</v>
          </cell>
          <cell r="E306">
            <v>0.02</v>
          </cell>
          <cell r="F306">
            <v>8.1000000000000003E-2</v>
          </cell>
        </row>
        <row r="307">
          <cell r="A307" t="str">
            <v>QRE</v>
          </cell>
          <cell r="B307">
            <v>43280</v>
          </cell>
          <cell r="C307">
            <v>5.3900000000000003E-2</v>
          </cell>
          <cell r="D307">
            <v>0.40429999999999999</v>
          </cell>
          <cell r="E307">
            <v>0.152</v>
          </cell>
          <cell r="F307">
            <v>8.1900000000000001E-2</v>
          </cell>
        </row>
        <row r="308">
          <cell r="A308" t="str">
            <v>OZG</v>
          </cell>
          <cell r="B308">
            <v>43280</v>
          </cell>
          <cell r="C308">
            <v>-2.7E-2</v>
          </cell>
          <cell r="D308">
            <v>0.1585</v>
          </cell>
          <cell r="E308">
            <v>8.8200000000000001E-2</v>
          </cell>
          <cell r="F308">
            <v>8.3099999999999993E-2</v>
          </cell>
        </row>
        <row r="309">
          <cell r="A309" t="str">
            <v>ARG</v>
          </cell>
          <cell r="B309">
            <v>43280</v>
          </cell>
          <cell r="C309">
            <v>1.9199999999999998E-2</v>
          </cell>
          <cell r="D309">
            <v>8.0799999999999997E-2</v>
          </cell>
          <cell r="E309">
            <v>4.0800000000000003E-2</v>
          </cell>
          <cell r="F309">
            <v>8.4000000000000005E-2</v>
          </cell>
        </row>
        <row r="310">
          <cell r="A310" t="str">
            <v>SFY</v>
          </cell>
          <cell r="B310">
            <v>43280</v>
          </cell>
          <cell r="C310">
            <v>3.6499999999999998E-2</v>
          </cell>
          <cell r="D310">
            <v>0.1111</v>
          </cell>
          <cell r="E310">
            <v>7.0800000000000002E-2</v>
          </cell>
          <cell r="F310">
            <v>8.5599999999999996E-2</v>
          </cell>
        </row>
        <row r="311">
          <cell r="A311" t="str">
            <v>SGP</v>
          </cell>
          <cell r="B311">
            <v>43280</v>
          </cell>
          <cell r="C311">
            <v>-2.9499999999999998E-2</v>
          </cell>
          <cell r="D311">
            <v>-3.56E-2</v>
          </cell>
          <cell r="E311">
            <v>4.8099999999999997E-2</v>
          </cell>
          <cell r="F311">
            <v>8.8900000000000007E-2</v>
          </cell>
        </row>
        <row r="312">
          <cell r="A312" t="str">
            <v>CQR</v>
          </cell>
          <cell r="B312">
            <v>43280</v>
          </cell>
          <cell r="C312">
            <v>1.66E-2</v>
          </cell>
          <cell r="D312">
            <v>0.1002</v>
          </cell>
          <cell r="E312">
            <v>6.3E-2</v>
          </cell>
          <cell r="F312">
            <v>8.9099999999999999E-2</v>
          </cell>
        </row>
        <row r="313">
          <cell r="A313" t="str">
            <v>IEM</v>
          </cell>
          <cell r="B313">
            <v>43280</v>
          </cell>
          <cell r="C313">
            <v>-3.8300000000000001E-2</v>
          </cell>
          <cell r="D313">
            <v>0.1101</v>
          </cell>
          <cell r="E313">
            <v>6.1199999999999997E-2</v>
          </cell>
          <cell r="F313">
            <v>8.9700000000000002E-2</v>
          </cell>
        </row>
        <row r="314">
          <cell r="A314" t="str">
            <v>MLT</v>
          </cell>
          <cell r="B314">
            <v>43280</v>
          </cell>
          <cell r="C314">
            <v>1.9800000000000002E-2</v>
          </cell>
          <cell r="D314">
            <v>6.5199999999999994E-2</v>
          </cell>
          <cell r="E314">
            <v>5.1900000000000002E-2</v>
          </cell>
          <cell r="F314">
            <v>9.0800000000000006E-2</v>
          </cell>
        </row>
        <row r="315">
          <cell r="A315" t="str">
            <v>MIR</v>
          </cell>
          <cell r="B315">
            <v>43280</v>
          </cell>
          <cell r="C315">
            <v>2.6700000000000002E-2</v>
          </cell>
          <cell r="D315">
            <v>4.8899999999999999E-2</v>
          </cell>
          <cell r="E315">
            <v>6.9199999999999998E-2</v>
          </cell>
          <cell r="F315">
            <v>9.0999999999999998E-2</v>
          </cell>
        </row>
        <row r="316">
          <cell r="A316" t="str">
            <v>IOZ</v>
          </cell>
          <cell r="B316">
            <v>43280</v>
          </cell>
          <cell r="C316">
            <v>3.1800000000000002E-2</v>
          </cell>
          <cell r="D316">
            <v>0.1265</v>
          </cell>
          <cell r="E316">
            <v>8.14E-2</v>
          </cell>
          <cell r="F316">
            <v>9.2799999999999994E-2</v>
          </cell>
        </row>
        <row r="317">
          <cell r="A317" t="str">
            <v>IEU</v>
          </cell>
          <cell r="B317">
            <v>43280</v>
          </cell>
          <cell r="C317">
            <v>-6.7999999999999996E-3</v>
          </cell>
          <cell r="D317">
            <v>6.9800000000000001E-2</v>
          </cell>
          <cell r="E317">
            <v>4.07E-2</v>
          </cell>
          <cell r="F317">
            <v>9.6100000000000005E-2</v>
          </cell>
        </row>
        <row r="318">
          <cell r="A318" t="str">
            <v>WHF</v>
          </cell>
          <cell r="B318">
            <v>43280</v>
          </cell>
          <cell r="C318">
            <v>1.7899999999999999E-2</v>
          </cell>
          <cell r="D318">
            <v>3.9E-2</v>
          </cell>
          <cell r="E318">
            <v>4.4400000000000002E-2</v>
          </cell>
          <cell r="F318">
            <v>9.6299999999999997E-2</v>
          </cell>
        </row>
        <row r="319">
          <cell r="A319" t="str">
            <v>AUI</v>
          </cell>
          <cell r="B319">
            <v>43280</v>
          </cell>
          <cell r="C319">
            <v>4.0899999999999999E-2</v>
          </cell>
          <cell r="D319">
            <v>0.11360000000000001</v>
          </cell>
          <cell r="E319">
            <v>7.0099999999999996E-2</v>
          </cell>
          <cell r="F319">
            <v>9.6600000000000005E-2</v>
          </cell>
        </row>
        <row r="320">
          <cell r="A320" t="str">
            <v>STW</v>
          </cell>
          <cell r="B320">
            <v>43280</v>
          </cell>
          <cell r="C320">
            <v>3.27E-2</v>
          </cell>
          <cell r="D320">
            <v>0.12839999999999999</v>
          </cell>
          <cell r="E320">
            <v>8.8200000000000001E-2</v>
          </cell>
          <cell r="F320">
            <v>9.6799999999999997E-2</v>
          </cell>
        </row>
        <row r="321">
          <cell r="A321" t="str">
            <v>CYA</v>
          </cell>
          <cell r="B321">
            <v>43280</v>
          </cell>
          <cell r="C321">
            <v>2.6800000000000001E-2</v>
          </cell>
          <cell r="D321">
            <v>5.4800000000000001E-2</v>
          </cell>
          <cell r="E321">
            <v>7.7499999999999999E-2</v>
          </cell>
          <cell r="F321">
            <v>9.69E-2</v>
          </cell>
        </row>
        <row r="322">
          <cell r="A322" t="str">
            <v>VAS</v>
          </cell>
          <cell r="B322">
            <v>43280</v>
          </cell>
          <cell r="C322">
            <v>3.1699999999999999E-2</v>
          </cell>
          <cell r="D322">
            <v>0.13039999999999999</v>
          </cell>
          <cell r="E322">
            <v>8.8599999999999998E-2</v>
          </cell>
          <cell r="F322">
            <v>9.7500000000000003E-2</v>
          </cell>
        </row>
        <row r="323">
          <cell r="A323" t="str">
            <v>FSI</v>
          </cell>
          <cell r="B323">
            <v>43280</v>
          </cell>
          <cell r="C323">
            <v>9.1000000000000004E-3</v>
          </cell>
          <cell r="D323">
            <v>0.1244</v>
          </cell>
          <cell r="E323">
            <v>0.1178</v>
          </cell>
          <cell r="F323">
            <v>9.8599999999999993E-2</v>
          </cell>
        </row>
        <row r="324">
          <cell r="A324" t="str">
            <v>WIC</v>
          </cell>
          <cell r="B324">
            <v>43280</v>
          </cell>
          <cell r="C324">
            <v>1.7399999999999999E-2</v>
          </cell>
          <cell r="D324">
            <v>0.28420000000000001</v>
          </cell>
          <cell r="E324">
            <v>0.1593</v>
          </cell>
          <cell r="F324">
            <v>9.9299999999999999E-2</v>
          </cell>
        </row>
        <row r="325">
          <cell r="A325" t="str">
            <v>VEU</v>
          </cell>
          <cell r="B325">
            <v>43280</v>
          </cell>
          <cell r="C325">
            <v>-1.5699999999999999E-2</v>
          </cell>
          <cell r="D325">
            <v>9.4399999999999998E-2</v>
          </cell>
          <cell r="E325">
            <v>5.62E-2</v>
          </cell>
          <cell r="F325">
            <v>0.1013</v>
          </cell>
        </row>
        <row r="326">
          <cell r="A326" t="str">
            <v>TGG</v>
          </cell>
          <cell r="B326">
            <v>43280</v>
          </cell>
          <cell r="C326">
            <v>1E-4</v>
          </cell>
          <cell r="D326">
            <v>7.9500000000000001E-2</v>
          </cell>
          <cell r="E326">
            <v>6.4299999999999996E-2</v>
          </cell>
          <cell r="F326">
            <v>0.10199999999999999</v>
          </cell>
        </row>
        <row r="327">
          <cell r="A327" t="str">
            <v>IVE</v>
          </cell>
          <cell r="B327">
            <v>43280</v>
          </cell>
          <cell r="C327">
            <v>-5.0000000000000001E-3</v>
          </cell>
          <cell r="D327">
            <v>9.8500000000000004E-2</v>
          </cell>
          <cell r="E327">
            <v>5.6500000000000002E-2</v>
          </cell>
          <cell r="F327">
            <v>0.1045</v>
          </cell>
        </row>
        <row r="328">
          <cell r="A328" t="str">
            <v>ISO</v>
          </cell>
          <cell r="B328">
            <v>43280</v>
          </cell>
          <cell r="C328">
            <v>2.5399999999999999E-2</v>
          </cell>
          <cell r="D328">
            <v>0.23419999999999999</v>
          </cell>
          <cell r="E328">
            <v>0.13900000000000001</v>
          </cell>
          <cell r="F328">
            <v>0.1065</v>
          </cell>
        </row>
        <row r="329">
          <cell r="A329" t="str">
            <v>IXI</v>
          </cell>
          <cell r="B329">
            <v>43280</v>
          </cell>
          <cell r="C329">
            <v>4.5699999999999998E-2</v>
          </cell>
          <cell r="D329">
            <v>2.18E-2</v>
          </cell>
          <cell r="E329">
            <v>6.2300000000000001E-2</v>
          </cell>
          <cell r="F329">
            <v>0.1095</v>
          </cell>
        </row>
        <row r="330">
          <cell r="A330" t="str">
            <v>DUI</v>
          </cell>
          <cell r="B330">
            <v>43280</v>
          </cell>
          <cell r="C330">
            <v>1.49E-2</v>
          </cell>
          <cell r="D330">
            <v>0.14369999999999999</v>
          </cell>
          <cell r="E330">
            <v>9.64E-2</v>
          </cell>
          <cell r="F330">
            <v>0.1105</v>
          </cell>
        </row>
        <row r="331">
          <cell r="A331" t="str">
            <v>MGR</v>
          </cell>
          <cell r="B331">
            <v>43280</v>
          </cell>
          <cell r="C331">
            <v>-3.8600000000000002E-2</v>
          </cell>
          <cell r="D331">
            <v>6.93E-2</v>
          </cell>
          <cell r="E331">
            <v>9.7699999999999995E-2</v>
          </cell>
          <cell r="F331">
            <v>0.1105</v>
          </cell>
        </row>
        <row r="332">
          <cell r="A332" t="str">
            <v>NCC</v>
          </cell>
          <cell r="B332">
            <v>43280</v>
          </cell>
          <cell r="C332">
            <v>4.1000000000000003E-3</v>
          </cell>
          <cell r="D332">
            <v>-6.0000000000000001E-3</v>
          </cell>
          <cell r="E332">
            <v>0.14069999999999999</v>
          </cell>
          <cell r="F332">
            <v>0.1111</v>
          </cell>
        </row>
        <row r="333">
          <cell r="A333" t="str">
            <v>VSO</v>
          </cell>
          <cell r="B333">
            <v>43280</v>
          </cell>
          <cell r="C333">
            <v>2.58E-2</v>
          </cell>
          <cell r="D333">
            <v>0.19020000000000001</v>
          </cell>
          <cell r="E333">
            <v>0.1431</v>
          </cell>
          <cell r="F333">
            <v>0.11169999999999999</v>
          </cell>
        </row>
        <row r="334">
          <cell r="A334" t="str">
            <v>SSO</v>
          </cell>
          <cell r="B334">
            <v>43280</v>
          </cell>
          <cell r="C334">
            <v>2.7099999999999999E-2</v>
          </cell>
          <cell r="D334">
            <v>0.22939999999999999</v>
          </cell>
          <cell r="E334">
            <v>0.14860000000000001</v>
          </cell>
          <cell r="F334">
            <v>0.11310000000000001</v>
          </cell>
        </row>
        <row r="335">
          <cell r="A335" t="str">
            <v>GPT</v>
          </cell>
          <cell r="B335">
            <v>43280</v>
          </cell>
          <cell r="C335">
            <v>2.4799999999999999E-2</v>
          </cell>
          <cell r="D335">
            <v>0.10879999999999999</v>
          </cell>
          <cell r="E335">
            <v>0.1086</v>
          </cell>
          <cell r="F335">
            <v>0.1137</v>
          </cell>
        </row>
        <row r="336">
          <cell r="A336" t="str">
            <v>CMW</v>
          </cell>
          <cell r="B336">
            <v>43280</v>
          </cell>
          <cell r="C336">
            <v>4.1799999999999997E-2</v>
          </cell>
          <cell r="D336">
            <v>0.27710000000000001</v>
          </cell>
          <cell r="E336">
            <v>0.1181</v>
          </cell>
          <cell r="F336">
            <v>0.1137</v>
          </cell>
        </row>
        <row r="337">
          <cell r="A337" t="str">
            <v>IKO</v>
          </cell>
          <cell r="B337">
            <v>43280</v>
          </cell>
          <cell r="C337">
            <v>-5.8099999999999999E-2</v>
          </cell>
          <cell r="D337">
            <v>6.6400000000000001E-2</v>
          </cell>
          <cell r="E337">
            <v>0.1048</v>
          </cell>
          <cell r="F337">
            <v>0.1152</v>
          </cell>
        </row>
        <row r="338">
          <cell r="A338" t="str">
            <v>SLF</v>
          </cell>
          <cell r="B338">
            <v>43280</v>
          </cell>
          <cell r="C338">
            <v>2.46E-2</v>
          </cell>
          <cell r="D338">
            <v>0.1273</v>
          </cell>
          <cell r="E338">
            <v>9.4399999999999998E-2</v>
          </cell>
          <cell r="F338">
            <v>0.11559999999999999</v>
          </cell>
        </row>
        <row r="339">
          <cell r="A339" t="str">
            <v>IJP</v>
          </cell>
          <cell r="B339">
            <v>43280</v>
          </cell>
          <cell r="C339">
            <v>-1.01E-2</v>
          </cell>
          <cell r="D339">
            <v>0.14480000000000001</v>
          </cell>
          <cell r="E339">
            <v>7.0699999999999999E-2</v>
          </cell>
          <cell r="F339">
            <v>0.11609999999999999</v>
          </cell>
        </row>
        <row r="340">
          <cell r="A340" t="str">
            <v>VAP</v>
          </cell>
          <cell r="B340">
            <v>43280</v>
          </cell>
          <cell r="C340">
            <v>-3.15E-2</v>
          </cell>
          <cell r="D340">
            <v>0.1285</v>
          </cell>
          <cell r="E340">
            <v>9.9199999999999997E-2</v>
          </cell>
          <cell r="F340">
            <v>0.1181</v>
          </cell>
        </row>
        <row r="341">
          <cell r="A341" t="str">
            <v>MVT</v>
          </cell>
          <cell r="B341">
            <v>43280</v>
          </cell>
          <cell r="C341">
            <v>0</v>
          </cell>
          <cell r="D341">
            <v>0.1303</v>
          </cell>
          <cell r="E341">
            <v>0.1193</v>
          </cell>
          <cell r="F341">
            <v>0.121</v>
          </cell>
        </row>
        <row r="342">
          <cell r="A342" t="str">
            <v>AST</v>
          </cell>
          <cell r="B342">
            <v>43280</v>
          </cell>
          <cell r="C342">
            <v>-9.1999999999999998E-3</v>
          </cell>
          <cell r="D342">
            <v>-2.5100000000000001E-2</v>
          </cell>
          <cell r="E342">
            <v>0.108</v>
          </cell>
          <cell r="F342">
            <v>0.1221</v>
          </cell>
        </row>
        <row r="343">
          <cell r="A343" t="str">
            <v>SKI</v>
          </cell>
          <cell r="B343">
            <v>43280</v>
          </cell>
          <cell r="C343">
            <v>4.58E-2</v>
          </cell>
          <cell r="D343">
            <v>-7.46E-2</v>
          </cell>
          <cell r="E343">
            <v>0.12280000000000001</v>
          </cell>
          <cell r="F343">
            <v>0.1255</v>
          </cell>
        </row>
        <row r="344">
          <cell r="A344" t="str">
            <v>ETPMPD</v>
          </cell>
          <cell r="B344">
            <v>43280</v>
          </cell>
          <cell r="C344">
            <v>-7.7000000000000002E-3</v>
          </cell>
          <cell r="D344">
            <v>0.14549999999999999</v>
          </cell>
          <cell r="E344">
            <v>8.4099999999999994E-2</v>
          </cell>
          <cell r="F344">
            <v>0.128</v>
          </cell>
        </row>
        <row r="345">
          <cell r="A345" t="str">
            <v>IZZ</v>
          </cell>
          <cell r="B345">
            <v>43280</v>
          </cell>
          <cell r="C345">
            <v>-5.0799999999999998E-2</v>
          </cell>
          <cell r="D345">
            <v>0.15820000000000001</v>
          </cell>
          <cell r="E345">
            <v>1.1299999999999999E-2</v>
          </cell>
          <cell r="F345">
            <v>0.13009999999999999</v>
          </cell>
        </row>
        <row r="346">
          <cell r="A346" t="str">
            <v>INA</v>
          </cell>
          <cell r="B346">
            <v>43280</v>
          </cell>
          <cell r="C346">
            <v>0.1449</v>
          </cell>
          <cell r="D346">
            <v>0.23050000000000001</v>
          </cell>
          <cell r="E346">
            <v>0.10050000000000001</v>
          </cell>
          <cell r="F346">
            <v>0.13039999999999999</v>
          </cell>
        </row>
        <row r="347">
          <cell r="A347" t="str">
            <v>IOO</v>
          </cell>
          <cell r="B347">
            <v>43280</v>
          </cell>
          <cell r="C347">
            <v>9.5999999999999992E-3</v>
          </cell>
          <cell r="D347">
            <v>0.15049999999999999</v>
          </cell>
          <cell r="E347">
            <v>0.10349999999999999</v>
          </cell>
          <cell r="F347">
            <v>0.13469999999999999</v>
          </cell>
        </row>
        <row r="348">
          <cell r="A348" t="str">
            <v>CIN</v>
          </cell>
          <cell r="B348">
            <v>43280</v>
          </cell>
          <cell r="C348">
            <v>1.7899999999999999E-2</v>
          </cell>
          <cell r="D348">
            <v>8.9399999999999993E-2</v>
          </cell>
          <cell r="E348">
            <v>5.2600000000000001E-2</v>
          </cell>
          <cell r="F348">
            <v>0.13500000000000001</v>
          </cell>
        </row>
        <row r="349">
          <cell r="A349" t="str">
            <v>PMC</v>
          </cell>
          <cell r="B349">
            <v>43280</v>
          </cell>
          <cell r="C349">
            <v>1.4500000000000001E-2</v>
          </cell>
          <cell r="D349">
            <v>0.3115</v>
          </cell>
          <cell r="E349">
            <v>0.1133</v>
          </cell>
          <cell r="F349">
            <v>0.1353</v>
          </cell>
        </row>
        <row r="350">
          <cell r="A350" t="str">
            <v>PIA</v>
          </cell>
          <cell r="B350">
            <v>43280</v>
          </cell>
          <cell r="C350">
            <v>2.1999999999999999E-2</v>
          </cell>
          <cell r="D350">
            <v>0.115</v>
          </cell>
          <cell r="E350">
            <v>6.0900000000000003E-2</v>
          </cell>
          <cell r="F350">
            <v>0.13650000000000001</v>
          </cell>
        </row>
        <row r="351">
          <cell r="A351" t="str">
            <v>FGX</v>
          </cell>
          <cell r="B351">
            <v>43280</v>
          </cell>
          <cell r="C351">
            <v>-4.0000000000000001E-3</v>
          </cell>
          <cell r="D351">
            <v>0.1903</v>
          </cell>
          <cell r="E351">
            <v>7.5600000000000001E-2</v>
          </cell>
          <cell r="F351">
            <v>0.1371</v>
          </cell>
        </row>
        <row r="352">
          <cell r="A352" t="str">
            <v>ITW</v>
          </cell>
          <cell r="B352">
            <v>43280</v>
          </cell>
          <cell r="C352">
            <v>-2.3E-3</v>
          </cell>
          <cell r="D352">
            <v>6.7100000000000007E-2</v>
          </cell>
          <cell r="E352">
            <v>8.4000000000000005E-2</v>
          </cell>
          <cell r="F352">
            <v>0.13769999999999999</v>
          </cell>
        </row>
        <row r="353">
          <cell r="A353" t="str">
            <v>BWP</v>
          </cell>
          <cell r="B353">
            <v>43280</v>
          </cell>
          <cell r="C353">
            <v>5.0200000000000002E-2</v>
          </cell>
          <cell r="D353">
            <v>0.1525</v>
          </cell>
          <cell r="E353">
            <v>7.6600000000000001E-2</v>
          </cell>
          <cell r="F353">
            <v>0.13900000000000001</v>
          </cell>
        </row>
        <row r="354">
          <cell r="A354" t="str">
            <v>CDP</v>
          </cell>
          <cell r="B354">
            <v>43280</v>
          </cell>
          <cell r="C354">
            <v>0.1045</v>
          </cell>
          <cell r="D354">
            <v>0.1118</v>
          </cell>
          <cell r="E354">
            <v>0.13400000000000001</v>
          </cell>
          <cell r="F354">
            <v>0.1399</v>
          </cell>
        </row>
        <row r="355">
          <cell r="A355" t="str">
            <v>GFL</v>
          </cell>
          <cell r="B355">
            <v>43280</v>
          </cell>
          <cell r="C355">
            <v>1.46E-2</v>
          </cell>
          <cell r="D355">
            <v>2.9700000000000001E-2</v>
          </cell>
          <cell r="E355">
            <v>8.0299999999999996E-2</v>
          </cell>
          <cell r="F355">
            <v>0.1411</v>
          </cell>
        </row>
        <row r="356">
          <cell r="A356" t="str">
            <v>NGE</v>
          </cell>
          <cell r="B356">
            <v>43280</v>
          </cell>
          <cell r="C356">
            <v>-4.2999999999999997E-2</v>
          </cell>
          <cell r="D356">
            <v>0.48849999999999999</v>
          </cell>
          <cell r="E356">
            <v>0.1328</v>
          </cell>
          <cell r="F356">
            <v>0.1449</v>
          </cell>
        </row>
        <row r="357">
          <cell r="A357" t="str">
            <v>DXS</v>
          </cell>
          <cell r="B357">
            <v>43280</v>
          </cell>
          <cell r="C357">
            <v>9.1000000000000004E-3</v>
          </cell>
          <cell r="D357">
            <v>7.5200000000000003E-2</v>
          </cell>
          <cell r="E357">
            <v>0.1555</v>
          </cell>
          <cell r="F357">
            <v>0.14499999999999999</v>
          </cell>
        </row>
        <row r="358">
          <cell r="A358" t="str">
            <v>WXOZ</v>
          </cell>
          <cell r="B358">
            <v>43280</v>
          </cell>
          <cell r="C358">
            <v>1.43E-2</v>
          </cell>
          <cell r="D358">
            <v>0.15579999999999999</v>
          </cell>
          <cell r="E358">
            <v>9.9099999999999994E-2</v>
          </cell>
          <cell r="F358">
            <v>0.14680000000000001</v>
          </cell>
        </row>
        <row r="359">
          <cell r="A359" t="str">
            <v>IXJ</v>
          </cell>
          <cell r="B359">
            <v>43280</v>
          </cell>
          <cell r="C359">
            <v>2.1100000000000001E-2</v>
          </cell>
          <cell r="D359">
            <v>6.9900000000000004E-2</v>
          </cell>
          <cell r="E359">
            <v>4.1399999999999999E-2</v>
          </cell>
          <cell r="F359">
            <v>0.1489</v>
          </cell>
        </row>
        <row r="360">
          <cell r="A360" t="str">
            <v>WAM</v>
          </cell>
          <cell r="B360">
            <v>43280</v>
          </cell>
          <cell r="C360">
            <v>0</v>
          </cell>
          <cell r="D360">
            <v>5.9799999999999999E-2</v>
          </cell>
          <cell r="E360">
            <v>0.14560000000000001</v>
          </cell>
          <cell r="F360">
            <v>0.1497</v>
          </cell>
        </row>
        <row r="361">
          <cell r="A361" t="str">
            <v>SCP</v>
          </cell>
          <cell r="B361">
            <v>43280</v>
          </cell>
          <cell r="C361">
            <v>2.87E-2</v>
          </cell>
          <cell r="D361">
            <v>0.1847</v>
          </cell>
          <cell r="E361">
            <v>9.9199999999999997E-2</v>
          </cell>
          <cell r="F361">
            <v>0.15</v>
          </cell>
        </row>
        <row r="362">
          <cell r="A362" t="str">
            <v>IAA</v>
          </cell>
          <cell r="B362">
            <v>43280</v>
          </cell>
          <cell r="C362">
            <v>-3.8300000000000001E-2</v>
          </cell>
          <cell r="D362">
            <v>0.15579999999999999</v>
          </cell>
          <cell r="E362">
            <v>0.10829999999999999</v>
          </cell>
          <cell r="F362">
            <v>0.15060000000000001</v>
          </cell>
        </row>
        <row r="363">
          <cell r="A363" t="str">
            <v>SCG</v>
          </cell>
          <cell r="B363">
            <v>43280</v>
          </cell>
          <cell r="C363">
            <v>4.7600000000000003E-2</v>
          </cell>
          <cell r="D363">
            <v>0.14599999999999999</v>
          </cell>
          <cell r="E363">
            <v>0.1085</v>
          </cell>
          <cell r="F363">
            <v>0.15140000000000001</v>
          </cell>
        </row>
        <row r="364">
          <cell r="A364" t="str">
            <v>TOP</v>
          </cell>
          <cell r="B364">
            <v>43280</v>
          </cell>
          <cell r="C364">
            <v>1.95E-2</v>
          </cell>
          <cell r="D364">
            <v>1.24E-2</v>
          </cell>
          <cell r="E364">
            <v>0.1646</v>
          </cell>
          <cell r="F364">
            <v>0.1537</v>
          </cell>
        </row>
        <row r="365">
          <cell r="A365" t="str">
            <v>WAX</v>
          </cell>
          <cell r="B365">
            <v>43280</v>
          </cell>
          <cell r="C365">
            <v>1.34E-2</v>
          </cell>
          <cell r="D365">
            <v>6.4000000000000001E-2</v>
          </cell>
          <cell r="E365">
            <v>0.15959999999999999</v>
          </cell>
          <cell r="F365">
            <v>0.16170000000000001</v>
          </cell>
        </row>
        <row r="366">
          <cell r="A366" t="str">
            <v>GOZ</v>
          </cell>
          <cell r="B366">
            <v>43280</v>
          </cell>
          <cell r="C366">
            <v>4.8500000000000001E-2</v>
          </cell>
          <cell r="D366">
            <v>0.22370000000000001</v>
          </cell>
          <cell r="E366">
            <v>0.1183</v>
          </cell>
          <cell r="F366">
            <v>0.16259999999999999</v>
          </cell>
        </row>
        <row r="367">
          <cell r="A367" t="str">
            <v>MFF</v>
          </cell>
          <cell r="B367">
            <v>43280</v>
          </cell>
          <cell r="C367">
            <v>7.22E-2</v>
          </cell>
          <cell r="D367">
            <v>0.38800000000000001</v>
          </cell>
          <cell r="E367">
            <v>0.1595</v>
          </cell>
          <cell r="F367">
            <v>0.16850000000000001</v>
          </cell>
        </row>
        <row r="368">
          <cell r="A368" t="str">
            <v>APA</v>
          </cell>
          <cell r="B368">
            <v>43280</v>
          </cell>
          <cell r="C368">
            <v>0.19739999999999999</v>
          </cell>
          <cell r="D368">
            <v>0.1321</v>
          </cell>
          <cell r="E368">
            <v>0.1145</v>
          </cell>
          <cell r="F368">
            <v>0.17019999999999999</v>
          </cell>
        </row>
        <row r="369">
          <cell r="A369" t="str">
            <v>CHC</v>
          </cell>
          <cell r="B369">
            <v>43280</v>
          </cell>
          <cell r="C369">
            <v>4.7100000000000003E-2</v>
          </cell>
          <cell r="D369">
            <v>0.2465</v>
          </cell>
          <cell r="E369">
            <v>0.19320000000000001</v>
          </cell>
          <cell r="F369">
            <v>0.1721</v>
          </cell>
        </row>
        <row r="370">
          <cell r="A370" t="str">
            <v>IJH</v>
          </cell>
          <cell r="B370">
            <v>43280</v>
          </cell>
          <cell r="C370">
            <v>2.4400000000000002E-2</v>
          </cell>
          <cell r="D370">
            <v>0.1802</v>
          </cell>
          <cell r="E370">
            <v>0.1178</v>
          </cell>
          <cell r="F370">
            <v>0.17419999999999999</v>
          </cell>
        </row>
        <row r="371">
          <cell r="A371" t="str">
            <v>TCL</v>
          </cell>
          <cell r="B371">
            <v>43280</v>
          </cell>
          <cell r="C371">
            <v>3.3799999999999997E-2</v>
          </cell>
          <cell r="D371">
            <v>5.7000000000000002E-2</v>
          </cell>
          <cell r="E371">
            <v>0.14000000000000001</v>
          </cell>
          <cell r="F371">
            <v>0.17780000000000001</v>
          </cell>
        </row>
        <row r="372">
          <cell r="A372" t="str">
            <v>IOF</v>
          </cell>
          <cell r="B372">
            <v>43280</v>
          </cell>
          <cell r="C372">
            <v>3.5299999999999998E-2</v>
          </cell>
          <cell r="D372">
            <v>0.24160000000000001</v>
          </cell>
          <cell r="E372">
            <v>0.16239999999999999</v>
          </cell>
          <cell r="F372">
            <v>0.17949999999999999</v>
          </cell>
        </row>
        <row r="373">
          <cell r="A373" t="str">
            <v>VTS</v>
          </cell>
          <cell r="B373">
            <v>43280</v>
          </cell>
          <cell r="C373">
            <v>2.4799999999999999E-2</v>
          </cell>
          <cell r="D373">
            <v>0.19439999999999999</v>
          </cell>
          <cell r="E373">
            <v>0.12770000000000001</v>
          </cell>
          <cell r="F373">
            <v>0.17960000000000001</v>
          </cell>
        </row>
        <row r="374">
          <cell r="A374" t="str">
            <v>ABP</v>
          </cell>
          <cell r="B374">
            <v>43280</v>
          </cell>
          <cell r="C374">
            <v>2.3E-3</v>
          </cell>
          <cell r="D374">
            <v>0.25540000000000002</v>
          </cell>
          <cell r="E374">
            <v>0.1593</v>
          </cell>
          <cell r="F374">
            <v>0.18099999999999999</v>
          </cell>
        </row>
        <row r="375">
          <cell r="A375" t="str">
            <v>IVV</v>
          </cell>
          <cell r="B375">
            <v>43280</v>
          </cell>
          <cell r="C375">
            <v>2.3800000000000002E-2</v>
          </cell>
          <cell r="D375">
            <v>0.18410000000000001</v>
          </cell>
          <cell r="E375">
            <v>0.1303</v>
          </cell>
          <cell r="F375">
            <v>0.18459999999999999</v>
          </cell>
        </row>
        <row r="376">
          <cell r="A376" t="str">
            <v>GMG</v>
          </cell>
          <cell r="B376">
            <v>43280</v>
          </cell>
          <cell r="C376">
            <v>5.0599999999999999E-2</v>
          </cell>
          <cell r="D376">
            <v>0.26079999999999998</v>
          </cell>
          <cell r="E376">
            <v>0.19289999999999999</v>
          </cell>
          <cell r="F376">
            <v>0.18740000000000001</v>
          </cell>
        </row>
        <row r="377">
          <cell r="A377" t="str">
            <v>BWR</v>
          </cell>
          <cell r="B377">
            <v>43280</v>
          </cell>
          <cell r="C377">
            <v>3.5700000000000003E-2</v>
          </cell>
          <cell r="D377">
            <v>0.21079999999999999</v>
          </cell>
          <cell r="E377">
            <v>0.1464</v>
          </cell>
          <cell r="F377">
            <v>0.1963</v>
          </cell>
        </row>
        <row r="378">
          <cell r="A378" t="str">
            <v>IJR</v>
          </cell>
          <cell r="B378">
            <v>43280</v>
          </cell>
          <cell r="C378">
            <v>4.7399999999999998E-2</v>
          </cell>
          <cell r="D378">
            <v>0.25890000000000002</v>
          </cell>
          <cell r="E378">
            <v>0.1537</v>
          </cell>
          <cell r="F378">
            <v>0.1963</v>
          </cell>
        </row>
        <row r="379">
          <cell r="A379" t="str">
            <v>AJD</v>
          </cell>
          <cell r="B379">
            <v>43280</v>
          </cell>
          <cell r="C379">
            <v>7.46E-2</v>
          </cell>
          <cell r="D379">
            <v>0.14630000000000001</v>
          </cell>
          <cell r="E379">
            <v>0.2205</v>
          </cell>
          <cell r="F379">
            <v>0.20180000000000001</v>
          </cell>
        </row>
        <row r="380">
          <cell r="A380" t="str">
            <v>FET</v>
          </cell>
          <cell r="B380">
            <v>43280</v>
          </cell>
          <cell r="C380">
            <v>1.04E-2</v>
          </cell>
          <cell r="D380">
            <v>1.7899999999999999E-2</v>
          </cell>
          <cell r="E380">
            <v>0.14749999999999999</v>
          </cell>
          <cell r="F380">
            <v>0.21279999999999999</v>
          </cell>
        </row>
        <row r="381">
          <cell r="A381" t="str">
            <v>IFN</v>
          </cell>
          <cell r="B381">
            <v>43280</v>
          </cell>
          <cell r="C381">
            <v>-0.114</v>
          </cell>
          <cell r="D381">
            <v>-9.5899999999999999E-2</v>
          </cell>
          <cell r="E381">
            <v>0.28170000000000001</v>
          </cell>
          <cell r="F381">
            <v>0.2145</v>
          </cell>
        </row>
        <row r="382">
          <cell r="A382" t="str">
            <v>LEP</v>
          </cell>
          <cell r="B382">
            <v>43280</v>
          </cell>
          <cell r="C382">
            <v>6.4899999999999999E-2</v>
          </cell>
          <cell r="D382">
            <v>0.24540000000000001</v>
          </cell>
          <cell r="E382">
            <v>0.20039999999999999</v>
          </cell>
          <cell r="F382">
            <v>0.2157</v>
          </cell>
        </row>
        <row r="383">
          <cell r="A383" t="str">
            <v>SYD</v>
          </cell>
          <cell r="B383">
            <v>43280</v>
          </cell>
          <cell r="C383">
            <v>7.1999999999999998E-3</v>
          </cell>
          <cell r="D383">
            <v>6.2399999999999997E-2</v>
          </cell>
          <cell r="E383">
            <v>0.18310000000000001</v>
          </cell>
          <cell r="F383">
            <v>0.22109999999999999</v>
          </cell>
        </row>
        <row r="384">
          <cell r="A384" t="str">
            <v>APW</v>
          </cell>
          <cell r="B384">
            <v>43280</v>
          </cell>
          <cell r="C384">
            <v>-3.7199999999999997E-2</v>
          </cell>
          <cell r="D384">
            <v>6.4899999999999999E-2</v>
          </cell>
          <cell r="E384">
            <v>0.1057</v>
          </cell>
          <cell r="F384">
            <v>0.23039999999999999</v>
          </cell>
        </row>
        <row r="385">
          <cell r="A385" t="str">
            <v>ARF</v>
          </cell>
          <cell r="B385">
            <v>43280</v>
          </cell>
          <cell r="C385">
            <v>1.01E-2</v>
          </cell>
          <cell r="D385">
            <v>1.1900000000000001E-2</v>
          </cell>
          <cell r="E385">
            <v>0.186</v>
          </cell>
          <cell r="F385">
            <v>0.23549999999999999</v>
          </cell>
        </row>
        <row r="386">
          <cell r="A386" t="str">
            <v>TGP</v>
          </cell>
          <cell r="B386">
            <v>43280</v>
          </cell>
          <cell r="C386">
            <v>9.9000000000000008E-3</v>
          </cell>
          <cell r="D386">
            <v>0.33979999999999999</v>
          </cell>
          <cell r="E386">
            <v>0.108</v>
          </cell>
          <cell r="F386">
            <v>0.27639999999999998</v>
          </cell>
        </row>
        <row r="387">
          <cell r="A387" t="str">
            <v>ALX</v>
          </cell>
          <cell r="B387">
            <v>43280</v>
          </cell>
          <cell r="C387">
            <v>-1.5299999999999999E-2</v>
          </cell>
          <cell r="D387">
            <v>0.18920000000000001</v>
          </cell>
          <cell r="E387">
            <v>0.3256</v>
          </cell>
          <cell r="F387">
            <v>0.33119999999999999</v>
          </cell>
        </row>
        <row r="388">
          <cell r="A388" t="str">
            <v>CIP</v>
          </cell>
          <cell r="B388">
            <v>43280</v>
          </cell>
          <cell r="C388">
            <v>2.69E-2</v>
          </cell>
          <cell r="D388">
            <v>0.1231</v>
          </cell>
          <cell r="E388">
            <v>9.9900000000000003E-2</v>
          </cell>
          <cell r="F388">
            <v>0.49490000000000001</v>
          </cell>
        </row>
        <row r="389">
          <cell r="A389" t="str">
            <v>BWF</v>
          </cell>
          <cell r="B389">
            <v>43280</v>
          </cell>
          <cell r="C389">
            <v>2.1499999999999998E-2</v>
          </cell>
          <cell r="D389">
            <v>9.6799999999999997E-2</v>
          </cell>
          <cell r="E389">
            <v>0.49909999999999999</v>
          </cell>
          <cell r="F389">
            <v>0.56810000000000005</v>
          </cell>
        </row>
      </sheetData>
      <sheetData sheetId="37">
        <row r="2">
          <cell r="A2" t="str">
            <v>AFZ01</v>
          </cell>
          <cell r="B2">
            <v>43280</v>
          </cell>
          <cell r="C2" t="str">
            <v>-2.14%</v>
          </cell>
          <cell r="D2" t="str">
            <v>-2.35%</v>
          </cell>
          <cell r="E2" t="str">
            <v>7.85%</v>
          </cell>
          <cell r="F2" t="str">
            <v>5.44%</v>
          </cell>
          <cell r="G2" t="str">
            <v>8.56%</v>
          </cell>
        </row>
        <row r="3">
          <cell r="A3" t="str">
            <v>AFZ03</v>
          </cell>
          <cell r="B3">
            <v>43280</v>
          </cell>
          <cell r="C3" t="str">
            <v>-1.07%</v>
          </cell>
          <cell r="D3" t="str">
            <v>-5.87%</v>
          </cell>
          <cell r="E3" t="str">
            <v>1.08%</v>
          </cell>
          <cell r="F3" t="str">
            <v>4.03%</v>
          </cell>
          <cell r="G3" t="str">
            <v>6.21%</v>
          </cell>
        </row>
        <row r="4">
          <cell r="A4" t="str">
            <v>AFZ04</v>
          </cell>
          <cell r="B4">
            <v>43280</v>
          </cell>
          <cell r="C4" t="str">
            <v>2.03%</v>
          </cell>
          <cell r="D4" t="str">
            <v>1.98%</v>
          </cell>
          <cell r="E4" t="str">
            <v>9.28%</v>
          </cell>
          <cell r="F4" t="str">
            <v>6.50%</v>
          </cell>
          <cell r="G4" t="str">
            <v>9.47%</v>
          </cell>
        </row>
        <row r="5">
          <cell r="A5" t="str">
            <v>AFZ16</v>
          </cell>
          <cell r="B5">
            <v>43280</v>
          </cell>
          <cell r="C5" t="str">
            <v>1.03%</v>
          </cell>
          <cell r="D5" t="str">
            <v>0.98%</v>
          </cell>
          <cell r="E5" t="str">
            <v>1.67%</v>
          </cell>
          <cell r="F5" t="str">
            <v>4.09%</v>
          </cell>
          <cell r="G5" t="str">
            <v>5.45%</v>
          </cell>
        </row>
        <row r="6">
          <cell r="A6" t="str">
            <v>AFZ18</v>
          </cell>
          <cell r="B6">
            <v>43280</v>
          </cell>
          <cell r="C6" t="str">
            <v>1.95%</v>
          </cell>
          <cell r="D6" t="str">
            <v>1.76%</v>
          </cell>
          <cell r="E6" t="str">
            <v>9.02%</v>
          </cell>
          <cell r="F6" t="str">
            <v>6.33%</v>
          </cell>
          <cell r="G6" t="str">
            <v>9.42%</v>
          </cell>
        </row>
        <row r="7">
          <cell r="A7" t="str">
            <v>AFZ19</v>
          </cell>
          <cell r="B7">
            <v>43280</v>
          </cell>
          <cell r="C7" t="str">
            <v>2.72%</v>
          </cell>
          <cell r="D7" t="str">
            <v>6.02%</v>
          </cell>
          <cell r="E7" t="str">
            <v>8.52%</v>
          </cell>
          <cell r="F7" t="str">
            <v>13.37%</v>
          </cell>
          <cell r="G7" t="str">
            <v>13.90%</v>
          </cell>
        </row>
        <row r="8">
          <cell r="A8" t="str">
            <v>AFZ20</v>
          </cell>
          <cell r="B8">
            <v>43280</v>
          </cell>
          <cell r="C8" t="str">
            <v>1.87%</v>
          </cell>
          <cell r="D8" t="str">
            <v>5.79%</v>
          </cell>
          <cell r="E8" t="str">
            <v>8.50%</v>
          </cell>
          <cell r="F8" t="str">
            <v>13.06%</v>
          </cell>
          <cell r="G8" t="str">
            <v>13.41%</v>
          </cell>
        </row>
        <row r="9">
          <cell r="A9" t="str">
            <v>AFZ21</v>
          </cell>
          <cell r="B9">
            <v>43280</v>
          </cell>
          <cell r="C9" t="str">
            <v>0.34%</v>
          </cell>
          <cell r="D9" t="str">
            <v>0.60%</v>
          </cell>
          <cell r="E9" t="str">
            <v>3.25%</v>
          </cell>
          <cell r="F9" t="str">
            <v>3.47%</v>
          </cell>
          <cell r="G9" t="str">
            <v>4.34%</v>
          </cell>
        </row>
        <row r="10">
          <cell r="A10" t="str">
            <v>AFZ25</v>
          </cell>
          <cell r="B10">
            <v>43280</v>
          </cell>
          <cell r="C10" t="str">
            <v>0.26%</v>
          </cell>
          <cell r="D10" t="str">
            <v>0.56%</v>
          </cell>
          <cell r="E10" t="str">
            <v>2.91%</v>
          </cell>
          <cell r="F10" t="str">
            <v>3.24%</v>
          </cell>
          <cell r="G10" t="str">
            <v>4.22%</v>
          </cell>
        </row>
        <row r="11">
          <cell r="A11" t="str">
            <v>AFZ29</v>
          </cell>
          <cell r="B11">
            <v>43280</v>
          </cell>
          <cell r="C11" t="str">
            <v>0.10%</v>
          </cell>
          <cell r="D11" t="str">
            <v>0.08%</v>
          </cell>
          <cell r="E11" t="str">
            <v>2.27%</v>
          </cell>
          <cell r="F11" t="str">
            <v>3.61%</v>
          </cell>
          <cell r="G11" t="str">
            <v>4.57%</v>
          </cell>
        </row>
        <row r="12">
          <cell r="A12" t="str">
            <v>AFZ30</v>
          </cell>
          <cell r="B12">
            <v>43280</v>
          </cell>
          <cell r="C12" t="str">
            <v>-0.10%</v>
          </cell>
          <cell r="D12" t="str">
            <v>-0.02%</v>
          </cell>
          <cell r="E12" t="str">
            <v>5.38%</v>
          </cell>
          <cell r="F12" t="str">
            <v>6.90%</v>
          </cell>
          <cell r="G12" t="str">
            <v>7.55%</v>
          </cell>
        </row>
        <row r="13">
          <cell r="A13" t="str">
            <v>AFZ32</v>
          </cell>
          <cell r="B13">
            <v>43280</v>
          </cell>
          <cell r="C13" t="str">
            <v>0.49%</v>
          </cell>
          <cell r="D13" t="str">
            <v>1.17%</v>
          </cell>
          <cell r="E13" t="str">
            <v>3.92%</v>
          </cell>
          <cell r="F13" t="str">
            <v>6.15%</v>
          </cell>
          <cell r="G13" t="str">
            <v>6.86%</v>
          </cell>
        </row>
        <row r="14">
          <cell r="A14" t="str">
            <v>AFM01</v>
          </cell>
          <cell r="B14">
            <v>43280</v>
          </cell>
          <cell r="C14" t="str">
            <v>1.42%</v>
          </cell>
          <cell r="D14" t="str">
            <v>7.96%</v>
          </cell>
          <cell r="E14" t="str">
            <v>8.46%</v>
          </cell>
          <cell r="F14" t="str">
            <v>n/a</v>
          </cell>
          <cell r="G14" t="str">
            <v>n/a</v>
          </cell>
        </row>
        <row r="15">
          <cell r="A15" t="str">
            <v>AQY01</v>
          </cell>
          <cell r="B15">
            <v>43280</v>
          </cell>
          <cell r="C15" t="str">
            <v>2.51%</v>
          </cell>
          <cell r="D15" t="str">
            <v>7.65%</v>
          </cell>
          <cell r="E15" t="str">
            <v>16.07%</v>
          </cell>
          <cell r="F15" t="str">
            <v>16.75%</v>
          </cell>
          <cell r="G15" t="str">
            <v>14.52%</v>
          </cell>
        </row>
        <row r="16">
          <cell r="A16" t="str">
            <v>AQY02</v>
          </cell>
          <cell r="B16">
            <v>43280</v>
          </cell>
          <cell r="C16" t="str">
            <v>0.78%</v>
          </cell>
          <cell r="D16" t="str">
            <v>2.51%</v>
          </cell>
          <cell r="E16" t="str">
            <v>6.20%</v>
          </cell>
          <cell r="F16" t="str">
            <v>8.09%</v>
          </cell>
          <cell r="G16" t="str">
            <v>7.20%</v>
          </cell>
        </row>
        <row r="17">
          <cell r="A17" t="str">
            <v>AQY03</v>
          </cell>
          <cell r="B17">
            <v>43280</v>
          </cell>
          <cell r="C17" t="str">
            <v>1.41%</v>
          </cell>
          <cell r="D17" t="str">
            <v>3.41%</v>
          </cell>
          <cell r="E17" t="str">
            <v>10.75%</v>
          </cell>
          <cell r="F17" t="str">
            <v>n/a</v>
          </cell>
          <cell r="G17" t="str">
            <v>n/a</v>
          </cell>
        </row>
        <row r="18">
          <cell r="A18" t="str">
            <v>IWM01</v>
          </cell>
          <cell r="B18">
            <v>43280</v>
          </cell>
          <cell r="C18" t="str">
            <v>0.14%</v>
          </cell>
          <cell r="D18" t="str">
            <v>-0.14%</v>
          </cell>
          <cell r="E18" t="str">
            <v>0.65%</v>
          </cell>
          <cell r="F18" t="str">
            <v>2.03%</v>
          </cell>
          <cell r="G18" t="str">
            <v>2.86%</v>
          </cell>
        </row>
        <row r="19">
          <cell r="A19" t="str">
            <v>IWM02</v>
          </cell>
          <cell r="B19">
            <v>43280</v>
          </cell>
          <cell r="C19" t="str">
            <v>2.71%</v>
          </cell>
          <cell r="D19" t="str">
            <v>4.58%</v>
          </cell>
          <cell r="E19" t="str">
            <v>2.67%</v>
          </cell>
          <cell r="F19" t="str">
            <v>6.68%</v>
          </cell>
          <cell r="G19" t="str">
            <v>9.43%</v>
          </cell>
        </row>
        <row r="20">
          <cell r="A20" t="str">
            <v>IWM03</v>
          </cell>
          <cell r="B20">
            <v>43280</v>
          </cell>
          <cell r="C20" t="str">
            <v>2.89%</v>
          </cell>
          <cell r="D20" t="str">
            <v>9.62%</v>
          </cell>
          <cell r="E20" t="str">
            <v>16.04%</v>
          </cell>
          <cell r="F20" t="str">
            <v>12.36%</v>
          </cell>
          <cell r="G20" t="str">
            <v>11.22%</v>
          </cell>
        </row>
        <row r="21">
          <cell r="A21" t="str">
            <v>IWM04</v>
          </cell>
          <cell r="B21">
            <v>43280</v>
          </cell>
          <cell r="C21" t="str">
            <v>3.33%</v>
          </cell>
          <cell r="D21" t="str">
            <v>9.00%</v>
          </cell>
          <cell r="E21" t="str">
            <v>11.33%</v>
          </cell>
          <cell r="F21" t="str">
            <v>9.10%</v>
          </cell>
          <cell r="G21" t="str">
            <v>11.14%</v>
          </cell>
        </row>
        <row r="22">
          <cell r="A22" t="str">
            <v>IWM05</v>
          </cell>
          <cell r="B22">
            <v>43280</v>
          </cell>
          <cell r="C22" t="str">
            <v>-0.20%</v>
          </cell>
          <cell r="D22" t="str">
            <v>-0.82%</v>
          </cell>
          <cell r="E22" t="str">
            <v>0.52%</v>
          </cell>
          <cell r="F22" t="str">
            <v>2.77%</v>
          </cell>
          <cell r="G22" t="str">
            <v>2.79%</v>
          </cell>
        </row>
        <row r="23">
          <cell r="A23" t="str">
            <v>IWM06</v>
          </cell>
          <cell r="B23">
            <v>43280</v>
          </cell>
          <cell r="C23" t="str">
            <v>1.10%</v>
          </cell>
          <cell r="D23" t="str">
            <v>4.10%</v>
          </cell>
          <cell r="E23" t="str">
            <v>11.60%</v>
          </cell>
          <cell r="F23" t="str">
            <v>8.21%</v>
          </cell>
          <cell r="G23" t="str">
            <v>11.89%</v>
          </cell>
        </row>
        <row r="24">
          <cell r="A24" t="str">
            <v>IWM07</v>
          </cell>
          <cell r="B24">
            <v>43280</v>
          </cell>
          <cell r="C24" t="str">
            <v>0.91%</v>
          </cell>
          <cell r="D24" t="str">
            <v>2.70%</v>
          </cell>
          <cell r="E24" t="str">
            <v>18.37%</v>
          </cell>
          <cell r="F24" t="str">
            <v>15.44%</v>
          </cell>
          <cell r="G24" t="str">
            <v>12.98%</v>
          </cell>
        </row>
        <row r="25">
          <cell r="A25" t="str">
            <v>ALH01</v>
          </cell>
          <cell r="B25">
            <v>43280</v>
          </cell>
          <cell r="C25" t="str">
            <v>3.59%</v>
          </cell>
          <cell r="D25" t="str">
            <v>10.97%</v>
          </cell>
          <cell r="E25" t="str">
            <v>16.66%</v>
          </cell>
          <cell r="F25" t="str">
            <v>10.25%</v>
          </cell>
          <cell r="G25" t="str">
            <v>10.70%</v>
          </cell>
        </row>
        <row r="26">
          <cell r="A26" t="str">
            <v>ALH02</v>
          </cell>
          <cell r="B26">
            <v>43280</v>
          </cell>
          <cell r="C26" t="str">
            <v>3.35%</v>
          </cell>
          <cell r="D26" t="str">
            <v>11.01%</v>
          </cell>
          <cell r="E26" t="str">
            <v>17.69%</v>
          </cell>
          <cell r="F26" t="str">
            <v>12.82%</v>
          </cell>
          <cell r="G26" t="str">
            <v>12.68%</v>
          </cell>
        </row>
        <row r="27">
          <cell r="A27" t="str">
            <v>ALH03</v>
          </cell>
          <cell r="B27">
            <v>43280</v>
          </cell>
          <cell r="C27" t="str">
            <v>3.53%</v>
          </cell>
          <cell r="D27" t="str">
            <v>10.95%</v>
          </cell>
          <cell r="E27" t="str">
            <v>20.68%</v>
          </cell>
          <cell r="F27" t="str">
            <v>10.95%</v>
          </cell>
          <cell r="G27" t="str">
            <v>11.17%</v>
          </cell>
        </row>
        <row r="28">
          <cell r="A28" t="str">
            <v>AGA01</v>
          </cell>
          <cell r="B28">
            <v>43280</v>
          </cell>
          <cell r="C28" t="str">
            <v>3.06%</v>
          </cell>
          <cell r="D28" t="str">
            <v>3.78%</v>
          </cell>
          <cell r="E28" t="str">
            <v>8.16%</v>
          </cell>
          <cell r="F28" t="str">
            <v>7.17%</v>
          </cell>
          <cell r="G28" t="str">
            <v>12.14%</v>
          </cell>
        </row>
        <row r="29">
          <cell r="A29" t="str">
            <v>ACA01</v>
          </cell>
          <cell r="B29">
            <v>43280</v>
          </cell>
          <cell r="C29" t="str">
            <v>2.65%</v>
          </cell>
          <cell r="D29" t="str">
            <v>6.64%</v>
          </cell>
          <cell r="E29" t="str">
            <v>6.74%</v>
          </cell>
          <cell r="F29" t="str">
            <v>4.33%</v>
          </cell>
          <cell r="G29" t="str">
            <v>n/a</v>
          </cell>
        </row>
        <row r="30">
          <cell r="A30" t="str">
            <v>ACA02</v>
          </cell>
          <cell r="B30">
            <v>43280</v>
          </cell>
          <cell r="C30" t="str">
            <v>0.13%</v>
          </cell>
          <cell r="D30" t="str">
            <v>0.44%</v>
          </cell>
          <cell r="E30" t="str">
            <v>2.50%</v>
          </cell>
          <cell r="F30" t="str">
            <v>2.82%</v>
          </cell>
          <cell r="G30" t="str">
            <v>3.77%</v>
          </cell>
        </row>
        <row r="31">
          <cell r="A31" t="str">
            <v>ACA03</v>
          </cell>
          <cell r="B31">
            <v>43280</v>
          </cell>
          <cell r="C31" t="str">
            <v>5.97%</v>
          </cell>
          <cell r="D31" t="str">
            <v>9.17%</v>
          </cell>
          <cell r="E31" t="str">
            <v>5.96%</v>
          </cell>
          <cell r="F31" t="str">
            <v>2.99%</v>
          </cell>
          <cell r="G31" t="str">
            <v>11.26%</v>
          </cell>
        </row>
        <row r="32">
          <cell r="A32" t="str">
            <v>ACA04</v>
          </cell>
          <cell r="B32">
            <v>43280</v>
          </cell>
          <cell r="C32" t="str">
            <v>1.85%</v>
          </cell>
          <cell r="D32" t="str">
            <v>6.23%</v>
          </cell>
          <cell r="E32" t="str">
            <v>7.13%</v>
          </cell>
          <cell r="F32" t="str">
            <v>5.75%</v>
          </cell>
          <cell r="G32" t="str">
            <v>8.48%</v>
          </cell>
        </row>
        <row r="33">
          <cell r="A33" t="str">
            <v>ACA05</v>
          </cell>
          <cell r="B33">
            <v>43280</v>
          </cell>
          <cell r="C33" t="str">
            <v>0.03%</v>
          </cell>
          <cell r="D33" t="str">
            <v>0.42%</v>
          </cell>
          <cell r="E33" t="str">
            <v>4.52%</v>
          </cell>
          <cell r="F33" t="str">
            <v>5.01%</v>
          </cell>
          <cell r="G33" t="str">
            <v>6.91%</v>
          </cell>
        </row>
        <row r="34">
          <cell r="A34" t="str">
            <v>ANT01</v>
          </cell>
          <cell r="B34">
            <v>43280</v>
          </cell>
          <cell r="C34" t="str">
            <v>0.16%</v>
          </cell>
          <cell r="D34" t="str">
            <v>0.53%</v>
          </cell>
          <cell r="E34" t="str">
            <v>2.39%</v>
          </cell>
          <cell r="F34" t="str">
            <v>2.63%</v>
          </cell>
          <cell r="G34" t="str">
            <v>n/a</v>
          </cell>
        </row>
        <row r="35">
          <cell r="A35" t="str">
            <v>AGP01</v>
          </cell>
          <cell r="B35">
            <v>43280</v>
          </cell>
          <cell r="C35" t="str">
            <v>2.42%</v>
          </cell>
          <cell r="D35" t="str">
            <v>3.38%</v>
          </cell>
          <cell r="E35" t="str">
            <v>17.53%</v>
          </cell>
          <cell r="F35" t="str">
            <v>n/a</v>
          </cell>
          <cell r="G35" t="str">
            <v>n/a</v>
          </cell>
        </row>
        <row r="36">
          <cell r="A36" t="str">
            <v>AGP02</v>
          </cell>
          <cell r="B36">
            <v>43280</v>
          </cell>
          <cell r="C36" t="str">
            <v>2.64%</v>
          </cell>
          <cell r="D36" t="str">
            <v>2.22%</v>
          </cell>
          <cell r="E36" t="str">
            <v>12.67%</v>
          </cell>
          <cell r="F36" t="str">
            <v>13.32%</v>
          </cell>
          <cell r="G36" t="str">
            <v>18.33%</v>
          </cell>
        </row>
        <row r="37">
          <cell r="A37" t="str">
            <v>APF01</v>
          </cell>
          <cell r="B37">
            <v>43280</v>
          </cell>
          <cell r="C37" t="str">
            <v>2.57%</v>
          </cell>
          <cell r="D37" t="str">
            <v>9.72%</v>
          </cell>
          <cell r="E37" t="str">
            <v>11.01%</v>
          </cell>
          <cell r="F37" t="str">
            <v>9.35%</v>
          </cell>
          <cell r="G37" t="str">
            <v>11.96%</v>
          </cell>
        </row>
        <row r="38">
          <cell r="A38" t="str">
            <v>APF02</v>
          </cell>
          <cell r="B38">
            <v>43280</v>
          </cell>
          <cell r="C38" t="str">
            <v>0.46%</v>
          </cell>
          <cell r="D38" t="str">
            <v>1.77%</v>
          </cell>
          <cell r="E38" t="str">
            <v>12.13%</v>
          </cell>
          <cell r="F38" t="str">
            <v>6.53%</v>
          </cell>
          <cell r="G38" t="str">
            <v>10.27%</v>
          </cell>
        </row>
        <row r="39">
          <cell r="A39" t="str">
            <v>ACY01</v>
          </cell>
          <cell r="B39">
            <v>43280</v>
          </cell>
          <cell r="C39" t="str">
            <v>3.26%</v>
          </cell>
          <cell r="D39" t="str">
            <v>7.76%</v>
          </cell>
          <cell r="E39" t="str">
            <v>13.30%</v>
          </cell>
          <cell r="F39" t="str">
            <v>9.27%</v>
          </cell>
          <cell r="G39" t="str">
            <v>9.93%</v>
          </cell>
        </row>
        <row r="40">
          <cell r="A40" t="str">
            <v>ACY02</v>
          </cell>
          <cell r="B40">
            <v>43280</v>
          </cell>
          <cell r="C40" t="str">
            <v>2.34%</v>
          </cell>
          <cell r="D40" t="str">
            <v>6.15%</v>
          </cell>
          <cell r="E40" t="str">
            <v>16.04%</v>
          </cell>
          <cell r="F40" t="str">
            <v>10.75%</v>
          </cell>
          <cell r="G40" t="str">
            <v>12.47%</v>
          </cell>
        </row>
        <row r="41">
          <cell r="A41" t="str">
            <v>AXW01</v>
          </cell>
          <cell r="B41">
            <v>43280</v>
          </cell>
          <cell r="C41" t="str">
            <v>2.90%</v>
          </cell>
          <cell r="D41" t="str">
            <v>9.08%</v>
          </cell>
          <cell r="E41" t="str">
            <v>16.28%</v>
          </cell>
          <cell r="F41" t="str">
            <v>10.30%</v>
          </cell>
          <cell r="G41" t="str">
            <v>11.03%</v>
          </cell>
        </row>
        <row r="42">
          <cell r="A42" t="str">
            <v>AXW02</v>
          </cell>
          <cell r="B42">
            <v>43280</v>
          </cell>
          <cell r="C42" t="str">
            <v>0.34%</v>
          </cell>
          <cell r="D42" t="str">
            <v>4.73%</v>
          </cell>
          <cell r="E42" t="str">
            <v>21.20%</v>
          </cell>
          <cell r="F42" t="str">
            <v>15.34%</v>
          </cell>
          <cell r="G42" t="str">
            <v>14.83%</v>
          </cell>
        </row>
        <row r="43">
          <cell r="A43" t="str">
            <v>AXW04</v>
          </cell>
          <cell r="B43">
            <v>43280</v>
          </cell>
          <cell r="C43" t="str">
            <v>5.08%</v>
          </cell>
          <cell r="D43" t="str">
            <v>18.02%</v>
          </cell>
          <cell r="E43" t="str">
            <v>30.65%</v>
          </cell>
          <cell r="F43" t="str">
            <v>17.42%</v>
          </cell>
          <cell r="G43" t="str">
            <v>18.98%</v>
          </cell>
        </row>
        <row r="44">
          <cell r="A44" t="str">
            <v>AXW05</v>
          </cell>
          <cell r="B44">
            <v>43280</v>
          </cell>
          <cell r="C44" t="str">
            <v>3.00%</v>
          </cell>
          <cell r="D44" t="str">
            <v>7.85%</v>
          </cell>
          <cell r="E44" t="str">
            <v>14.46%</v>
          </cell>
          <cell r="F44" t="str">
            <v>12.69%</v>
          </cell>
          <cell r="G44" t="str">
            <v>12.65%</v>
          </cell>
        </row>
        <row r="45">
          <cell r="A45" t="str">
            <v>AXW07</v>
          </cell>
          <cell r="B45">
            <v>43280</v>
          </cell>
          <cell r="C45" t="str">
            <v>2.46%</v>
          </cell>
          <cell r="D45" t="str">
            <v>8.89%</v>
          </cell>
          <cell r="E45" t="str">
            <v>n/a</v>
          </cell>
          <cell r="F45" t="str">
            <v>n/a</v>
          </cell>
          <cell r="G45" t="str">
            <v>n/a</v>
          </cell>
        </row>
        <row r="46">
          <cell r="A46" t="str">
            <v>AXW08</v>
          </cell>
          <cell r="B46">
            <v>43280</v>
          </cell>
          <cell r="C46" t="str">
            <v>2.84%</v>
          </cell>
          <cell r="D46" t="str">
            <v>8.27%</v>
          </cell>
          <cell r="E46" t="str">
            <v>n/a</v>
          </cell>
          <cell r="F46" t="str">
            <v>n/a</v>
          </cell>
          <cell r="G46" t="str">
            <v>n/a</v>
          </cell>
        </row>
        <row r="47">
          <cell r="A47" t="str">
            <v>AET01</v>
          </cell>
          <cell r="B47">
            <v>43280</v>
          </cell>
          <cell r="C47" t="str">
            <v>2.33%</v>
          </cell>
          <cell r="D47" t="str">
            <v>5.11%</v>
          </cell>
          <cell r="E47" t="str">
            <v>10.28%</v>
          </cell>
          <cell r="F47" t="str">
            <v>9.48%</v>
          </cell>
          <cell r="G47" t="str">
            <v>12.89%</v>
          </cell>
        </row>
        <row r="48">
          <cell r="A48" t="str">
            <v>AET02</v>
          </cell>
          <cell r="B48">
            <v>43280</v>
          </cell>
          <cell r="C48" t="str">
            <v>0.42%</v>
          </cell>
          <cell r="D48" t="str">
            <v>0.68%</v>
          </cell>
          <cell r="E48" t="str">
            <v>2.63%</v>
          </cell>
          <cell r="F48" t="str">
            <v>2.80%</v>
          </cell>
          <cell r="G48" t="str">
            <v>n/a</v>
          </cell>
        </row>
        <row r="49">
          <cell r="A49" t="str">
            <v>AET03</v>
          </cell>
          <cell r="B49">
            <v>43280</v>
          </cell>
          <cell r="C49" t="str">
            <v>2.81%</v>
          </cell>
          <cell r="D49" t="str">
            <v>4.29%</v>
          </cell>
          <cell r="E49" t="str">
            <v>11.38%</v>
          </cell>
          <cell r="F49" t="str">
            <v>9.07%</v>
          </cell>
          <cell r="G49" t="str">
            <v>n/a</v>
          </cell>
        </row>
        <row r="50">
          <cell r="A50" t="str">
            <v>AET04</v>
          </cell>
          <cell r="B50">
            <v>43280</v>
          </cell>
          <cell r="C50" t="str">
            <v>1.93%</v>
          </cell>
          <cell r="D50" t="str">
            <v>3.27%</v>
          </cell>
          <cell r="E50" t="str">
            <v>9.55%</v>
          </cell>
          <cell r="F50" t="str">
            <v>12.44%</v>
          </cell>
          <cell r="G50" t="str">
            <v>14.86%</v>
          </cell>
        </row>
        <row r="51">
          <cell r="A51" t="str">
            <v>AET05</v>
          </cell>
          <cell r="B51">
            <v>43280</v>
          </cell>
          <cell r="C51" t="str">
            <v>2.32%</v>
          </cell>
          <cell r="D51" t="str">
            <v>5.12%</v>
          </cell>
          <cell r="E51" t="str">
            <v>10.28%</v>
          </cell>
          <cell r="F51" t="str">
            <v>9.54%</v>
          </cell>
          <cell r="G51" t="str">
            <v>12.77%</v>
          </cell>
        </row>
        <row r="52">
          <cell r="A52" t="str">
            <v>AET06</v>
          </cell>
          <cell r="B52">
            <v>43280</v>
          </cell>
          <cell r="C52" t="str">
            <v>0.14%</v>
          </cell>
          <cell r="D52" t="str">
            <v>0.50%</v>
          </cell>
          <cell r="E52" t="str">
            <v>1.97%</v>
          </cell>
          <cell r="F52" t="str">
            <v>n/a</v>
          </cell>
          <cell r="G52" t="str">
            <v>n/a</v>
          </cell>
        </row>
        <row r="53">
          <cell r="A53" t="str">
            <v>AET07</v>
          </cell>
          <cell r="B53">
            <v>43280</v>
          </cell>
          <cell r="C53" t="str">
            <v>1.83%</v>
          </cell>
          <cell r="D53" t="str">
            <v>2.50%</v>
          </cell>
          <cell r="E53" t="str">
            <v>14.18%</v>
          </cell>
          <cell r="F53" t="str">
            <v>n/a</v>
          </cell>
          <cell r="G53" t="str">
            <v>n/a</v>
          </cell>
        </row>
        <row r="54">
          <cell r="A54" t="str">
            <v>AET08</v>
          </cell>
          <cell r="B54">
            <v>43280</v>
          </cell>
          <cell r="C54" t="str">
            <v>1.66%</v>
          </cell>
          <cell r="D54" t="str">
            <v>3.16%</v>
          </cell>
          <cell r="E54" t="str">
            <v>n/a</v>
          </cell>
          <cell r="F54" t="str">
            <v>n/a</v>
          </cell>
          <cell r="G54" t="str">
            <v>n/a</v>
          </cell>
        </row>
        <row r="55">
          <cell r="A55" t="str">
            <v>AVO01</v>
          </cell>
          <cell r="B55">
            <v>43280</v>
          </cell>
          <cell r="C55" t="str">
            <v>-0.53%</v>
          </cell>
          <cell r="D55" t="str">
            <v>5.07%</v>
          </cell>
          <cell r="E55" t="str">
            <v>14.21%</v>
          </cell>
          <cell r="F55" t="str">
            <v>11.06%</v>
          </cell>
          <cell r="G55" t="str">
            <v>7.97%</v>
          </cell>
        </row>
        <row r="56">
          <cell r="A56" t="str">
            <v>BAE01</v>
          </cell>
          <cell r="B56">
            <v>43280</v>
          </cell>
          <cell r="C56" t="str">
            <v>3.29%</v>
          </cell>
          <cell r="D56" t="str">
            <v>14.96%</v>
          </cell>
          <cell r="E56" t="str">
            <v>26.32%</v>
          </cell>
          <cell r="F56" t="str">
            <v>16.37%</v>
          </cell>
          <cell r="G56" t="str">
            <v>13.56%</v>
          </cell>
        </row>
        <row r="57">
          <cell r="A57" t="str">
            <v>BAE02</v>
          </cell>
          <cell r="B57">
            <v>43280</v>
          </cell>
          <cell r="C57" t="str">
            <v>1.57%</v>
          </cell>
          <cell r="D57" t="str">
            <v>13.81%</v>
          </cell>
          <cell r="E57" t="str">
            <v>29.10%</v>
          </cell>
          <cell r="F57" t="str">
            <v>23.04%</v>
          </cell>
          <cell r="G57" t="str">
            <v>19.88%</v>
          </cell>
        </row>
        <row r="58">
          <cell r="A58" t="str">
            <v>BAE03</v>
          </cell>
          <cell r="B58">
            <v>43280</v>
          </cell>
          <cell r="C58" t="str">
            <v>2.65%</v>
          </cell>
          <cell r="D58" t="str">
            <v>13.32%</v>
          </cell>
          <cell r="E58" t="str">
            <v>25.24%</v>
          </cell>
          <cell r="F58" t="str">
            <v>20.10%</v>
          </cell>
          <cell r="G58" t="str">
            <v>16.11%</v>
          </cell>
        </row>
        <row r="59">
          <cell r="A59" t="str">
            <v>BAE05</v>
          </cell>
          <cell r="B59">
            <v>43280</v>
          </cell>
          <cell r="C59" t="str">
            <v>-0.73%</v>
          </cell>
          <cell r="D59" t="str">
            <v>10.60%</v>
          </cell>
          <cell r="E59" t="str">
            <v>n/a</v>
          </cell>
          <cell r="F59" t="str">
            <v>n/a</v>
          </cell>
          <cell r="G59" t="str">
            <v>n/a</v>
          </cell>
        </row>
        <row r="60">
          <cell r="A60" t="str">
            <v>BAE04</v>
          </cell>
          <cell r="B60">
            <v>43280</v>
          </cell>
          <cell r="C60" t="str">
            <v>3.11%</v>
          </cell>
          <cell r="D60" t="str">
            <v>10.30%</v>
          </cell>
          <cell r="E60" t="str">
            <v>18.52%</v>
          </cell>
          <cell r="F60" t="str">
            <v>n/a</v>
          </cell>
          <cell r="G60" t="str">
            <v>n/a</v>
          </cell>
        </row>
        <row r="61">
          <cell r="A61" t="str">
            <v>BAM03</v>
          </cell>
          <cell r="B61">
            <v>43280</v>
          </cell>
          <cell r="C61" t="str">
            <v>0.18%</v>
          </cell>
          <cell r="D61" t="str">
            <v>0.48%</v>
          </cell>
          <cell r="E61" t="str">
            <v>2.17%</v>
          </cell>
          <cell r="F61" t="str">
            <v>5.99%</v>
          </cell>
          <cell r="G61" t="str">
            <v>6.87%</v>
          </cell>
        </row>
        <row r="62">
          <cell r="A62" t="str">
            <v>BAM04</v>
          </cell>
          <cell r="B62">
            <v>43280</v>
          </cell>
          <cell r="C62" t="str">
            <v>0.15%</v>
          </cell>
          <cell r="D62" t="str">
            <v>0.78%</v>
          </cell>
          <cell r="E62" t="str">
            <v>5.08%</v>
          </cell>
          <cell r="F62" t="str">
            <v>5.69%</v>
          </cell>
          <cell r="G62" t="str">
            <v>6.22%</v>
          </cell>
        </row>
        <row r="63">
          <cell r="A63" t="str">
            <v>BAM05</v>
          </cell>
          <cell r="B63">
            <v>43280</v>
          </cell>
          <cell r="C63" t="str">
            <v>0.26%</v>
          </cell>
          <cell r="D63" t="str">
            <v>0.32%</v>
          </cell>
          <cell r="E63" t="str">
            <v>5.41%</v>
          </cell>
          <cell r="F63" t="str">
            <v>5.48%</v>
          </cell>
          <cell r="G63" t="str">
            <v>6.03%</v>
          </cell>
        </row>
        <row r="64">
          <cell r="A64" t="str">
            <v>BLL01</v>
          </cell>
          <cell r="B64">
            <v>43280</v>
          </cell>
          <cell r="C64" t="str">
            <v>3.76%</v>
          </cell>
          <cell r="D64" t="str">
            <v>6.87%</v>
          </cell>
          <cell r="E64" t="str">
            <v>15.52%</v>
          </cell>
          <cell r="F64" t="str">
            <v>9.50%</v>
          </cell>
          <cell r="G64" t="str">
            <v>14.12%</v>
          </cell>
        </row>
        <row r="65">
          <cell r="A65" t="str">
            <v>BLM01</v>
          </cell>
          <cell r="B65">
            <v>43280</v>
          </cell>
          <cell r="C65" t="str">
            <v>4.09%</v>
          </cell>
          <cell r="D65" t="str">
            <v>6.97%</v>
          </cell>
          <cell r="E65" t="str">
            <v>15.97%</v>
          </cell>
          <cell r="F65" t="str">
            <v>7.56%</v>
          </cell>
          <cell r="G65" t="str">
            <v>8.05%</v>
          </cell>
        </row>
        <row r="66">
          <cell r="A66" t="str">
            <v>DSC01</v>
          </cell>
          <cell r="B66">
            <v>43280</v>
          </cell>
          <cell r="C66" t="str">
            <v>-4.45%</v>
          </cell>
          <cell r="D66" t="str">
            <v>-3.03%</v>
          </cell>
          <cell r="E66" t="str">
            <v>14.57%</v>
          </cell>
          <cell r="F66" t="str">
            <v>n/a</v>
          </cell>
          <cell r="G66" t="str">
            <v>n/a</v>
          </cell>
        </row>
        <row r="67">
          <cell r="A67" t="str">
            <v>LMA07</v>
          </cell>
          <cell r="B67">
            <v>43280</v>
          </cell>
          <cell r="C67" t="str">
            <v>-0.45%</v>
          </cell>
          <cell r="D67" t="str">
            <v>-3.47%</v>
          </cell>
          <cell r="E67" t="str">
            <v>-0.98%</v>
          </cell>
          <cell r="F67" t="str">
            <v>3.00%</v>
          </cell>
          <cell r="G67" t="str">
            <v>4.68%</v>
          </cell>
        </row>
        <row r="68">
          <cell r="A68" t="str">
            <v>SPC01</v>
          </cell>
          <cell r="B68">
            <v>43280</v>
          </cell>
          <cell r="C68" t="str">
            <v>-0.04%</v>
          </cell>
          <cell r="D68" t="str">
            <v>3.22%</v>
          </cell>
          <cell r="E68" t="str">
            <v>10.16%</v>
          </cell>
          <cell r="F68" t="str">
            <v>5.07%</v>
          </cell>
          <cell r="G68" t="str">
            <v>n/a</v>
          </cell>
        </row>
        <row r="69">
          <cell r="A69" t="str">
            <v>EQY01</v>
          </cell>
          <cell r="B69">
            <v>43280</v>
          </cell>
          <cell r="C69" t="str">
            <v>3.44%</v>
          </cell>
          <cell r="D69" t="str">
            <v>7.59%</v>
          </cell>
          <cell r="E69" t="str">
            <v>11.01%</v>
          </cell>
          <cell r="F69" t="str">
            <v>6.43%</v>
          </cell>
          <cell r="G69" t="str">
            <v>8.40%</v>
          </cell>
        </row>
        <row r="70">
          <cell r="A70" t="str">
            <v>EQY02</v>
          </cell>
          <cell r="B70">
            <v>43280</v>
          </cell>
          <cell r="C70" t="str">
            <v>3.97%</v>
          </cell>
          <cell r="D70" t="str">
            <v>4.15%</v>
          </cell>
          <cell r="E70" t="str">
            <v>1.13%</v>
          </cell>
          <cell r="F70" t="str">
            <v>2.29%</v>
          </cell>
          <cell r="G70" t="str">
            <v>n/a</v>
          </cell>
        </row>
        <row r="71">
          <cell r="A71" t="str">
            <v>EAP01</v>
          </cell>
          <cell r="B71">
            <v>43280</v>
          </cell>
          <cell r="C71" t="str">
            <v>0.35%</v>
          </cell>
          <cell r="D71" t="str">
            <v>5.56%</v>
          </cell>
          <cell r="E71" t="str">
            <v>6.35%</v>
          </cell>
          <cell r="F71" t="str">
            <v>12.38%</v>
          </cell>
          <cell r="G71" t="str">
            <v>n/a</v>
          </cell>
        </row>
        <row r="72">
          <cell r="A72" t="str">
            <v>EAP03</v>
          </cell>
          <cell r="B72">
            <v>43280</v>
          </cell>
          <cell r="C72" t="str">
            <v>2.64%</v>
          </cell>
          <cell r="D72" t="str">
            <v>7.71%</v>
          </cell>
          <cell r="E72" t="str">
            <v>11.21%</v>
          </cell>
          <cell r="F72" t="str">
            <v>11.17%</v>
          </cell>
          <cell r="G72" t="str">
            <v>n/a</v>
          </cell>
        </row>
        <row r="73">
          <cell r="A73" t="str">
            <v>FEP01</v>
          </cell>
          <cell r="B73">
            <v>43280</v>
          </cell>
          <cell r="C73" t="str">
            <v>1.15%</v>
          </cell>
          <cell r="D73" t="str">
            <v>7.80%</v>
          </cell>
          <cell r="E73" t="str">
            <v>24.96%</v>
          </cell>
          <cell r="F73" t="str">
            <v>12.12%</v>
          </cell>
          <cell r="G73" t="str">
            <v>11.63%</v>
          </cell>
        </row>
        <row r="74">
          <cell r="A74" t="str">
            <v>FIL07</v>
          </cell>
          <cell r="B74">
            <v>43280</v>
          </cell>
          <cell r="C74" t="str">
            <v>2.39%</v>
          </cell>
          <cell r="D74" t="str">
            <v>5.73%</v>
          </cell>
          <cell r="E74" t="str">
            <v>18.33%</v>
          </cell>
          <cell r="F74" t="str">
            <v>10.69%</v>
          </cell>
          <cell r="G74" t="str">
            <v>15.40%</v>
          </cell>
        </row>
        <row r="75">
          <cell r="A75" t="str">
            <v>FIL08</v>
          </cell>
          <cell r="B75">
            <v>43280</v>
          </cell>
          <cell r="C75" t="str">
            <v>3.62%</v>
          </cell>
          <cell r="D75" t="str">
            <v>10.92%</v>
          </cell>
          <cell r="E75" t="str">
            <v>15.15%</v>
          </cell>
          <cell r="F75" t="str">
            <v>9.42%</v>
          </cell>
          <cell r="G75" t="str">
            <v>10.93%</v>
          </cell>
        </row>
        <row r="76">
          <cell r="A76" t="str">
            <v>FIL10</v>
          </cell>
          <cell r="B76">
            <v>43280</v>
          </cell>
          <cell r="C76" t="str">
            <v>-2.30%</v>
          </cell>
          <cell r="D76" t="str">
            <v>2.30%</v>
          </cell>
          <cell r="E76" t="str">
            <v>20.59%</v>
          </cell>
          <cell r="F76" t="str">
            <v>14.59%</v>
          </cell>
          <cell r="G76" t="str">
            <v>17.32%</v>
          </cell>
        </row>
        <row r="77">
          <cell r="A77" t="str">
            <v>FIL11</v>
          </cell>
          <cell r="B77">
            <v>43280</v>
          </cell>
          <cell r="C77" t="str">
            <v>-3.15%</v>
          </cell>
          <cell r="D77" t="str">
            <v>0.74%</v>
          </cell>
          <cell r="E77" t="str">
            <v>20.35%</v>
          </cell>
          <cell r="F77" t="str">
            <v>7.86%</v>
          </cell>
          <cell r="G77" t="str">
            <v>19.33%</v>
          </cell>
        </row>
        <row r="78">
          <cell r="A78" t="str">
            <v>FIL14</v>
          </cell>
          <cell r="B78">
            <v>43280</v>
          </cell>
          <cell r="C78" t="str">
            <v>0.32%</v>
          </cell>
          <cell r="D78" t="str">
            <v>4.12%</v>
          </cell>
          <cell r="E78" t="str">
            <v>14.16%</v>
          </cell>
          <cell r="F78" t="str">
            <v>9.89%</v>
          </cell>
          <cell r="G78" t="str">
            <v>12.75%</v>
          </cell>
        </row>
        <row r="79">
          <cell r="A79" t="str">
            <v>FIL15</v>
          </cell>
          <cell r="B79">
            <v>43280</v>
          </cell>
          <cell r="C79" t="str">
            <v>1.05%</v>
          </cell>
          <cell r="D79" t="str">
            <v>5.18%</v>
          </cell>
          <cell r="E79" t="str">
            <v>11.93%</v>
          </cell>
          <cell r="F79" t="str">
            <v>9.63%</v>
          </cell>
          <cell r="G79" t="str">
            <v>18.49%</v>
          </cell>
        </row>
        <row r="80">
          <cell r="A80" t="str">
            <v>FIL21</v>
          </cell>
          <cell r="B80">
            <v>43280</v>
          </cell>
          <cell r="C80" t="str">
            <v>2.87%</v>
          </cell>
          <cell r="D80" t="str">
            <v>7.97%</v>
          </cell>
          <cell r="E80" t="str">
            <v>16.27%</v>
          </cell>
          <cell r="F80" t="str">
            <v>12.04%</v>
          </cell>
          <cell r="G80" t="str">
            <v>12.77%</v>
          </cell>
        </row>
        <row r="81">
          <cell r="A81" t="str">
            <v>FIL23</v>
          </cell>
          <cell r="B81">
            <v>43280</v>
          </cell>
          <cell r="C81" t="str">
            <v>1.36%</v>
          </cell>
          <cell r="D81" t="str">
            <v>4.07%</v>
          </cell>
          <cell r="E81" t="str">
            <v>17.12%</v>
          </cell>
          <cell r="F81" t="str">
            <v>10.84%</v>
          </cell>
          <cell r="G81" t="str">
            <v>16.74%</v>
          </cell>
        </row>
        <row r="82">
          <cell r="A82" t="str">
            <v>FIL26</v>
          </cell>
          <cell r="B82">
            <v>43280</v>
          </cell>
          <cell r="C82" t="str">
            <v>2.60%</v>
          </cell>
          <cell r="D82" t="str">
            <v>11.13%</v>
          </cell>
          <cell r="E82" t="str">
            <v>29.14%</v>
          </cell>
          <cell r="F82" t="str">
            <v>18.91%</v>
          </cell>
          <cell r="G82" t="str">
            <v>n/a</v>
          </cell>
        </row>
        <row r="83">
          <cell r="A83" t="str">
            <v>FIL31</v>
          </cell>
          <cell r="B83">
            <v>43280</v>
          </cell>
          <cell r="C83" t="str">
            <v>-0.77%</v>
          </cell>
          <cell r="D83" t="str">
            <v>-2.02%</v>
          </cell>
          <cell r="E83" t="str">
            <v>14.51%</v>
          </cell>
          <cell r="F83" t="str">
            <v>8.69%</v>
          </cell>
          <cell r="G83" t="str">
            <v>n/a</v>
          </cell>
        </row>
        <row r="84">
          <cell r="A84" t="str">
            <v>FIL52</v>
          </cell>
          <cell r="B84">
            <v>43280</v>
          </cell>
          <cell r="C84" t="str">
            <v>1.17%</v>
          </cell>
          <cell r="D84" t="str">
            <v>3.50%</v>
          </cell>
          <cell r="E84" t="str">
            <v>13.21%</v>
          </cell>
          <cell r="F84" t="str">
            <v>n/a</v>
          </cell>
          <cell r="G84" t="str">
            <v>n/a</v>
          </cell>
        </row>
        <row r="85">
          <cell r="A85" t="str">
            <v>FEC01</v>
          </cell>
          <cell r="B85">
            <v>43280</v>
          </cell>
          <cell r="C85" t="str">
            <v>0.99%</v>
          </cell>
          <cell r="D85" t="str">
            <v>8.61%</v>
          </cell>
          <cell r="E85" t="str">
            <v>32.58%</v>
          </cell>
          <cell r="F85" t="str">
            <v>n/a</v>
          </cell>
          <cell r="G85" t="str">
            <v>n/a</v>
          </cell>
        </row>
        <row r="86">
          <cell r="A86" t="str">
            <v>GSF01</v>
          </cell>
          <cell r="B86">
            <v>43280</v>
          </cell>
          <cell r="C86" t="str">
            <v>0.71%</v>
          </cell>
          <cell r="D86" t="str">
            <v>2.84%</v>
          </cell>
          <cell r="E86" t="str">
            <v>2.18%</v>
          </cell>
          <cell r="F86" t="str">
            <v>6.43%</v>
          </cell>
          <cell r="G86" t="str">
            <v>8.96%</v>
          </cell>
        </row>
        <row r="87">
          <cell r="A87" t="str">
            <v>GSF02</v>
          </cell>
          <cell r="B87">
            <v>43280</v>
          </cell>
          <cell r="C87" t="str">
            <v>2.82%</v>
          </cell>
          <cell r="D87" t="str">
            <v>3.99%</v>
          </cell>
          <cell r="E87" t="str">
            <v>5.55%</v>
          </cell>
          <cell r="F87" t="str">
            <v>5.99%</v>
          </cell>
          <cell r="G87" t="str">
            <v>10.65%</v>
          </cell>
        </row>
        <row r="88">
          <cell r="A88" t="str">
            <v>NWG01</v>
          </cell>
          <cell r="B88">
            <v>43280</v>
          </cell>
          <cell r="C88" t="str">
            <v>1.62%</v>
          </cell>
          <cell r="D88" t="str">
            <v>7.03%</v>
          </cell>
          <cell r="E88" t="str">
            <v>23.51%</v>
          </cell>
          <cell r="F88" t="str">
            <v>8.98%</v>
          </cell>
          <cell r="G88" t="str">
            <v>9.35%</v>
          </cell>
        </row>
        <row r="89">
          <cell r="A89" t="str">
            <v>HYN01</v>
          </cell>
          <cell r="B89">
            <v>43280</v>
          </cell>
          <cell r="C89" t="str">
            <v>4.31%</v>
          </cell>
          <cell r="D89" t="str">
            <v>12.50%</v>
          </cell>
          <cell r="E89" t="str">
            <v>15.27%</v>
          </cell>
          <cell r="F89" t="str">
            <v>12.03%</v>
          </cell>
          <cell r="G89" t="str">
            <v>12.80%</v>
          </cell>
        </row>
        <row r="90">
          <cell r="A90" t="str">
            <v>HYN02</v>
          </cell>
          <cell r="B90">
            <v>43280</v>
          </cell>
          <cell r="C90" t="str">
            <v>2.87%</v>
          </cell>
          <cell r="D90" t="str">
            <v>14.01%</v>
          </cell>
          <cell r="E90" t="str">
            <v>16.51%</v>
          </cell>
          <cell r="F90" t="str">
            <v>12.94%</v>
          </cell>
          <cell r="G90" t="str">
            <v>13.92%</v>
          </cell>
        </row>
        <row r="91">
          <cell r="A91" t="str">
            <v>HYN03</v>
          </cell>
          <cell r="B91">
            <v>43280</v>
          </cell>
          <cell r="C91" t="str">
            <v>3.97%</v>
          </cell>
          <cell r="D91" t="str">
            <v>14.12%</v>
          </cell>
          <cell r="E91" t="str">
            <v>33.07%</v>
          </cell>
          <cell r="F91" t="str">
            <v>n/a</v>
          </cell>
          <cell r="G91" t="str">
            <v>n/a</v>
          </cell>
        </row>
        <row r="92">
          <cell r="A92" t="str">
            <v>HYN04</v>
          </cell>
          <cell r="B92">
            <v>43280</v>
          </cell>
          <cell r="C92" t="str">
            <v>4.61%</v>
          </cell>
          <cell r="D92" t="str">
            <v>15.30%</v>
          </cell>
          <cell r="E92" t="str">
            <v>35.91%</v>
          </cell>
          <cell r="F92" t="str">
            <v>20.28%</v>
          </cell>
          <cell r="G92" t="str">
            <v>n/a</v>
          </cell>
        </row>
        <row r="93">
          <cell r="A93" t="str">
            <v>INS01</v>
          </cell>
          <cell r="B93">
            <v>43280</v>
          </cell>
          <cell r="C93" t="str">
            <v>3.50%</v>
          </cell>
          <cell r="D93" t="str">
            <v>7.99%</v>
          </cell>
          <cell r="E93" t="str">
            <v>17.25%</v>
          </cell>
          <cell r="F93" t="str">
            <v>9.03%</v>
          </cell>
          <cell r="G93" t="str">
            <v>11.29%</v>
          </cell>
        </row>
        <row r="94">
          <cell r="A94" t="str">
            <v>INT01</v>
          </cell>
          <cell r="B94">
            <v>43280</v>
          </cell>
          <cell r="C94" t="str">
            <v>2.35%</v>
          </cell>
          <cell r="D94" t="str">
            <v>5.56%</v>
          </cell>
          <cell r="E94" t="str">
            <v>15.26%</v>
          </cell>
          <cell r="F94" t="str">
            <v>11.41%</v>
          </cell>
          <cell r="G94" t="str">
            <v>n/a</v>
          </cell>
        </row>
        <row r="95">
          <cell r="A95" t="str">
            <v>IAL02</v>
          </cell>
          <cell r="B95">
            <v>43280</v>
          </cell>
          <cell r="C95" t="str">
            <v>2.72%</v>
          </cell>
          <cell r="D95" t="str">
            <v>4.65%</v>
          </cell>
          <cell r="E95" t="str">
            <v>16.25%</v>
          </cell>
          <cell r="F95" t="str">
            <v>10.68%</v>
          </cell>
          <cell r="G95" t="str">
            <v>15.60%</v>
          </cell>
        </row>
        <row r="96">
          <cell r="A96" t="str">
            <v>IAL05</v>
          </cell>
          <cell r="B96">
            <v>43280</v>
          </cell>
          <cell r="C96" t="str">
            <v>-0.11%</v>
          </cell>
          <cell r="D96" t="str">
            <v>0.60%</v>
          </cell>
          <cell r="E96" t="str">
            <v>4.27%</v>
          </cell>
          <cell r="F96" t="str">
            <v>4.94%</v>
          </cell>
          <cell r="G96" t="str">
            <v>4.34%</v>
          </cell>
        </row>
        <row r="97">
          <cell r="A97" t="str">
            <v>IAL08</v>
          </cell>
          <cell r="B97">
            <v>43280</v>
          </cell>
          <cell r="C97" t="str">
            <v>0.62%</v>
          </cell>
          <cell r="D97" t="str">
            <v>4.18%</v>
          </cell>
          <cell r="E97" t="str">
            <v>12.88%</v>
          </cell>
          <cell r="F97" t="str">
            <v>11.05%</v>
          </cell>
          <cell r="G97" t="str">
            <v>13.93%</v>
          </cell>
        </row>
        <row r="98">
          <cell r="A98" t="str">
            <v>IAL11</v>
          </cell>
          <cell r="B98">
            <v>43280</v>
          </cell>
          <cell r="C98" t="str">
            <v>3.65%</v>
          </cell>
          <cell r="D98" t="str">
            <v>10.32%</v>
          </cell>
          <cell r="E98" t="str">
            <v>19.84%</v>
          </cell>
          <cell r="F98" t="str">
            <v>14.34%</v>
          </cell>
          <cell r="G98" t="str">
            <v>12.79%</v>
          </cell>
        </row>
        <row r="99">
          <cell r="A99" t="str">
            <v>IAL12</v>
          </cell>
          <cell r="B99">
            <v>43280</v>
          </cell>
          <cell r="C99" t="str">
            <v>1.07%</v>
          </cell>
          <cell r="D99" t="str">
            <v>8.86%</v>
          </cell>
          <cell r="E99" t="str">
            <v>23.92%</v>
          </cell>
          <cell r="F99" t="str">
            <v>13.02%</v>
          </cell>
          <cell r="G99" t="str">
            <v>8.10%</v>
          </cell>
        </row>
        <row r="100">
          <cell r="A100" t="str">
            <v>IAL18</v>
          </cell>
          <cell r="B100">
            <v>43280</v>
          </cell>
          <cell r="C100" t="str">
            <v>0.29%</v>
          </cell>
          <cell r="D100" t="str">
            <v>-0.28%</v>
          </cell>
          <cell r="E100" t="str">
            <v>-1.09%</v>
          </cell>
          <cell r="F100" t="str">
            <v>3.07%</v>
          </cell>
          <cell r="G100" t="str">
            <v>n/a</v>
          </cell>
        </row>
        <row r="101">
          <cell r="A101" t="str">
            <v>IAL41</v>
          </cell>
          <cell r="B101">
            <v>43280</v>
          </cell>
          <cell r="C101" t="str">
            <v>2.42%</v>
          </cell>
          <cell r="D101" t="str">
            <v>7.08%</v>
          </cell>
          <cell r="E101" t="str">
            <v>7.23%</v>
          </cell>
          <cell r="F101" t="str">
            <v>5.85%</v>
          </cell>
          <cell r="G101" t="str">
            <v>8.03%</v>
          </cell>
        </row>
        <row r="102">
          <cell r="A102" t="str">
            <v>ACC01</v>
          </cell>
          <cell r="B102">
            <v>43280</v>
          </cell>
          <cell r="C102" t="str">
            <v>1.24%</v>
          </cell>
          <cell r="D102" t="str">
            <v>2.51%</v>
          </cell>
          <cell r="E102" t="str">
            <v>4.24%</v>
          </cell>
          <cell r="F102" t="str">
            <v>4.78%</v>
          </cell>
          <cell r="G102" t="str">
            <v>6.45%</v>
          </cell>
        </row>
        <row r="103">
          <cell r="A103" t="str">
            <v>JHI02</v>
          </cell>
          <cell r="B103">
            <v>43280</v>
          </cell>
          <cell r="C103" t="str">
            <v>0.26%</v>
          </cell>
          <cell r="D103" t="str">
            <v>0.78%</v>
          </cell>
          <cell r="E103" t="str">
            <v>2.89%</v>
          </cell>
          <cell r="F103" t="str">
            <v>3.12%</v>
          </cell>
          <cell r="G103" t="str">
            <v>3.58%</v>
          </cell>
        </row>
        <row r="104">
          <cell r="A104" t="str">
            <v>JPM01</v>
          </cell>
          <cell r="B104">
            <v>43280</v>
          </cell>
          <cell r="C104" t="str">
            <v>0.07%</v>
          </cell>
          <cell r="D104" t="str">
            <v>-0.32%</v>
          </cell>
          <cell r="E104" t="str">
            <v>1.27%</v>
          </cell>
          <cell r="F104" t="str">
            <v>3.56%</v>
          </cell>
          <cell r="G104" t="str">
            <v>n/a</v>
          </cell>
        </row>
        <row r="105">
          <cell r="A105" t="str">
            <v>JPM02</v>
          </cell>
          <cell r="B105">
            <v>43280</v>
          </cell>
          <cell r="C105" t="str">
            <v>-0.44%</v>
          </cell>
          <cell r="D105" t="str">
            <v>-1.60%</v>
          </cell>
          <cell r="E105" t="str">
            <v>0.76%</v>
          </cell>
          <cell r="F105" t="str">
            <v>4.13%</v>
          </cell>
          <cell r="G105" t="str">
            <v>n/a</v>
          </cell>
        </row>
        <row r="106">
          <cell r="A106" t="str">
            <v>JPM03</v>
          </cell>
          <cell r="B106">
            <v>43280</v>
          </cell>
          <cell r="C106" t="str">
            <v>0.00%</v>
          </cell>
          <cell r="D106" t="str">
            <v>-0.38%</v>
          </cell>
          <cell r="E106" t="str">
            <v>0.77%</v>
          </cell>
          <cell r="F106" t="str">
            <v>n/a</v>
          </cell>
          <cell r="G106" t="str">
            <v>n/a</v>
          </cell>
        </row>
        <row r="107">
          <cell r="A107" t="str">
            <v>JPM05</v>
          </cell>
          <cell r="B107">
            <v>43280</v>
          </cell>
          <cell r="C107" t="str">
            <v>2.58%</v>
          </cell>
          <cell r="D107" t="str">
            <v>6.52%</v>
          </cell>
          <cell r="E107" t="str">
            <v>15.22%</v>
          </cell>
          <cell r="F107" t="str">
            <v>9.67%</v>
          </cell>
          <cell r="G107" t="str">
            <v>n/a</v>
          </cell>
        </row>
        <row r="108">
          <cell r="A108" t="str">
            <v>JPM06</v>
          </cell>
          <cell r="B108">
            <v>43280</v>
          </cell>
          <cell r="C108" t="str">
            <v>0.56%</v>
          </cell>
          <cell r="D108" t="str">
            <v>4.76%</v>
          </cell>
          <cell r="E108" t="str">
            <v>11.39%</v>
          </cell>
          <cell r="F108" t="str">
            <v>9.28%</v>
          </cell>
          <cell r="G108" t="str">
            <v>n/a</v>
          </cell>
        </row>
        <row r="109">
          <cell r="A109" t="str">
            <v>JPM07</v>
          </cell>
          <cell r="B109">
            <v>43280</v>
          </cell>
          <cell r="C109" t="str">
            <v>-0.38%</v>
          </cell>
          <cell r="D109" t="str">
            <v>-3.13%</v>
          </cell>
          <cell r="E109" t="str">
            <v>16.00%</v>
          </cell>
          <cell r="F109" t="str">
            <v>8.97%</v>
          </cell>
          <cell r="G109" t="str">
            <v>n/a</v>
          </cell>
        </row>
        <row r="110">
          <cell r="A110" t="str">
            <v>JPM09</v>
          </cell>
          <cell r="B110">
            <v>43280</v>
          </cell>
          <cell r="C110" t="str">
            <v>0.02%</v>
          </cell>
          <cell r="D110" t="str">
            <v>-1.33%</v>
          </cell>
          <cell r="E110" t="str">
            <v>-5.60%</v>
          </cell>
          <cell r="F110" t="str">
            <v>n/a</v>
          </cell>
          <cell r="G110" t="str">
            <v>n/a</v>
          </cell>
        </row>
        <row r="111">
          <cell r="A111" t="str">
            <v>JPM10</v>
          </cell>
          <cell r="B111">
            <v>43280</v>
          </cell>
          <cell r="C111" t="str">
            <v>-2.05%</v>
          </cell>
          <cell r="D111" t="str">
            <v>-2.26%</v>
          </cell>
          <cell r="E111" t="str">
            <v>13.27%</v>
          </cell>
          <cell r="F111" t="str">
            <v>n/a</v>
          </cell>
          <cell r="G111" t="str">
            <v>n/a</v>
          </cell>
        </row>
        <row r="112">
          <cell r="A112" t="str">
            <v>KAP01</v>
          </cell>
          <cell r="B112">
            <v>43280</v>
          </cell>
          <cell r="C112" t="str">
            <v>0.16%</v>
          </cell>
          <cell r="D112" t="str">
            <v>0.48%</v>
          </cell>
          <cell r="E112" t="str">
            <v>2.69%</v>
          </cell>
          <cell r="F112" t="str">
            <v>2.84%</v>
          </cell>
          <cell r="G112" t="str">
            <v>3.43%</v>
          </cell>
        </row>
        <row r="113">
          <cell r="A113" t="str">
            <v>SHF05</v>
          </cell>
          <cell r="B113">
            <v>43280</v>
          </cell>
          <cell r="C113" t="str">
            <v>2.59%</v>
          </cell>
          <cell r="D113" t="str">
            <v>7.78%</v>
          </cell>
          <cell r="E113" t="str">
            <v>7.03%</v>
          </cell>
          <cell r="F113" t="str">
            <v>5.26%</v>
          </cell>
          <cell r="G113" t="str">
            <v>8.13%</v>
          </cell>
        </row>
        <row r="114">
          <cell r="A114" t="str">
            <v>SHF06</v>
          </cell>
          <cell r="B114">
            <v>43280</v>
          </cell>
          <cell r="C114" t="str">
            <v>4.13%</v>
          </cell>
          <cell r="D114" t="str">
            <v>8.37%</v>
          </cell>
          <cell r="E114" t="str">
            <v>6.32%</v>
          </cell>
          <cell r="F114" t="str">
            <v>6.91%</v>
          </cell>
          <cell r="G114" t="str">
            <v>n/a</v>
          </cell>
        </row>
        <row r="115">
          <cell r="A115" t="str">
            <v>LKH01</v>
          </cell>
          <cell r="B115">
            <v>43280</v>
          </cell>
          <cell r="C115" t="str">
            <v>2.81%</v>
          </cell>
          <cell r="D115" t="str">
            <v>7.89%</v>
          </cell>
          <cell r="E115" t="str">
            <v>n/a</v>
          </cell>
          <cell r="F115" t="str">
            <v>n/a</v>
          </cell>
          <cell r="G115" t="str">
            <v>n/a</v>
          </cell>
        </row>
        <row r="116">
          <cell r="A116" t="str">
            <v>LMA01</v>
          </cell>
          <cell r="B116">
            <v>43280</v>
          </cell>
          <cell r="C116" t="str">
            <v>2.45%</v>
          </cell>
          <cell r="D116" t="str">
            <v>3.32%</v>
          </cell>
          <cell r="E116" t="str">
            <v>4.80%</v>
          </cell>
          <cell r="F116" t="str">
            <v>8.55%</v>
          </cell>
          <cell r="G116" t="str">
            <v>9.92%</v>
          </cell>
        </row>
        <row r="117">
          <cell r="A117" t="str">
            <v>LMA02</v>
          </cell>
          <cell r="B117">
            <v>43280</v>
          </cell>
          <cell r="C117" t="str">
            <v>2.25%</v>
          </cell>
          <cell r="D117" t="str">
            <v>7.22%</v>
          </cell>
          <cell r="E117" t="str">
            <v>6.84%</v>
          </cell>
          <cell r="F117" t="str">
            <v>12.27%</v>
          </cell>
          <cell r="G117" t="str">
            <v>14.93%</v>
          </cell>
        </row>
        <row r="118">
          <cell r="A118" t="str">
            <v>LMA03</v>
          </cell>
          <cell r="B118">
            <v>43280</v>
          </cell>
          <cell r="C118" t="str">
            <v>0.85%</v>
          </cell>
          <cell r="D118" t="str">
            <v>5.96%</v>
          </cell>
          <cell r="E118" t="str">
            <v>23.40%</v>
          </cell>
          <cell r="F118" t="str">
            <v>7.27%</v>
          </cell>
          <cell r="G118" t="str">
            <v>6.07%</v>
          </cell>
        </row>
        <row r="119">
          <cell r="A119" t="str">
            <v>LMA05</v>
          </cell>
          <cell r="B119">
            <v>43280</v>
          </cell>
          <cell r="C119" t="str">
            <v>1.90%</v>
          </cell>
          <cell r="D119" t="str">
            <v>3.88%</v>
          </cell>
          <cell r="E119" t="str">
            <v>5.04%</v>
          </cell>
          <cell r="F119" t="str">
            <v>9.10%</v>
          </cell>
          <cell r="G119" t="str">
            <v>n/a</v>
          </cell>
        </row>
        <row r="120">
          <cell r="A120" t="str">
            <v>LMA06</v>
          </cell>
          <cell r="B120">
            <v>43280</v>
          </cell>
          <cell r="C120" t="str">
            <v>1.47%</v>
          </cell>
          <cell r="D120" t="str">
            <v>3.19%</v>
          </cell>
          <cell r="E120" t="str">
            <v>8.36%</v>
          </cell>
          <cell r="F120" t="str">
            <v>7.93%</v>
          </cell>
          <cell r="G120" t="str">
            <v>10.54%</v>
          </cell>
        </row>
        <row r="121">
          <cell r="A121" t="str">
            <v>LOF01</v>
          </cell>
          <cell r="B121">
            <v>43280</v>
          </cell>
          <cell r="C121" t="str">
            <v>2.03%</v>
          </cell>
          <cell r="D121" t="str">
            <v>8.61%</v>
          </cell>
          <cell r="E121" t="str">
            <v>25.49%</v>
          </cell>
          <cell r="F121" t="str">
            <v>14.72%</v>
          </cell>
          <cell r="G121" t="str">
            <v>15.19%</v>
          </cell>
        </row>
        <row r="122">
          <cell r="A122" t="str">
            <v>MIM01</v>
          </cell>
          <cell r="B122">
            <v>43280</v>
          </cell>
          <cell r="C122" t="str">
            <v>-0.11%</v>
          </cell>
          <cell r="D122" t="str">
            <v>-0.09%</v>
          </cell>
          <cell r="E122" t="str">
            <v>1.89%</v>
          </cell>
          <cell r="F122" t="str">
            <v>2.87%</v>
          </cell>
          <cell r="G122" t="str">
            <v>3.25%</v>
          </cell>
        </row>
        <row r="123">
          <cell r="A123" t="str">
            <v>MLO02</v>
          </cell>
          <cell r="B123">
            <v>43280</v>
          </cell>
          <cell r="C123" t="str">
            <v>1.57%</v>
          </cell>
          <cell r="D123" t="str">
            <v>2.29%</v>
          </cell>
          <cell r="E123" t="str">
            <v>2.67%</v>
          </cell>
          <cell r="F123" t="str">
            <v>6.81%</v>
          </cell>
          <cell r="G123" t="str">
            <v>7.08%</v>
          </cell>
        </row>
        <row r="124">
          <cell r="A124" t="str">
            <v>MLC01</v>
          </cell>
          <cell r="B124">
            <v>43280</v>
          </cell>
          <cell r="C124" t="str">
            <v>0.39%</v>
          </cell>
          <cell r="D124" t="str">
            <v>0.70%</v>
          </cell>
          <cell r="E124" t="str">
            <v>3.30%</v>
          </cell>
          <cell r="F124" t="str">
            <v>2.87%</v>
          </cell>
          <cell r="G124" t="str">
            <v>n/a</v>
          </cell>
        </row>
        <row r="125">
          <cell r="A125" t="str">
            <v>MLC02</v>
          </cell>
          <cell r="B125">
            <v>43280</v>
          </cell>
          <cell r="C125" t="str">
            <v>0.55%</v>
          </cell>
          <cell r="D125" t="str">
            <v>0.91%</v>
          </cell>
          <cell r="E125" t="str">
            <v>4.33%</v>
          </cell>
          <cell r="F125" t="str">
            <v>3.55%</v>
          </cell>
          <cell r="G125" t="str">
            <v>n/a</v>
          </cell>
        </row>
        <row r="126">
          <cell r="A126" t="str">
            <v>MLC03</v>
          </cell>
          <cell r="B126">
            <v>43280</v>
          </cell>
          <cell r="C126" t="str">
            <v>0.84%</v>
          </cell>
          <cell r="D126" t="str">
            <v>1.55%</v>
          </cell>
          <cell r="E126" t="str">
            <v>6.46%</v>
          </cell>
          <cell r="F126" t="str">
            <v>4.58%</v>
          </cell>
          <cell r="G126" t="str">
            <v>8.04%</v>
          </cell>
        </row>
        <row r="127">
          <cell r="A127" t="str">
            <v>MUN01</v>
          </cell>
          <cell r="B127">
            <v>43280</v>
          </cell>
          <cell r="C127" t="str">
            <v>1.09%</v>
          </cell>
          <cell r="D127" t="str">
            <v>3.94%</v>
          </cell>
          <cell r="E127" t="str">
            <v>20.98%</v>
          </cell>
          <cell r="F127" t="str">
            <v>n/a</v>
          </cell>
          <cell r="G127" t="str">
            <v>n/a</v>
          </cell>
        </row>
        <row r="128">
          <cell r="A128" t="str">
            <v>MOR01</v>
          </cell>
          <cell r="B128">
            <v>43280</v>
          </cell>
          <cell r="C128" t="str">
            <v>0.43%</v>
          </cell>
          <cell r="D128" t="str">
            <v>2.02%</v>
          </cell>
          <cell r="E128" t="str">
            <v>24.09%</v>
          </cell>
          <cell r="F128" t="str">
            <v>7.54%</v>
          </cell>
          <cell r="G128" t="str">
            <v>4.17%</v>
          </cell>
        </row>
        <row r="129">
          <cell r="A129" t="str">
            <v>NCE01</v>
          </cell>
          <cell r="B129">
            <v>43280</v>
          </cell>
          <cell r="C129" t="str">
            <v>n/a</v>
          </cell>
          <cell r="D129" t="str">
            <v>n/a</v>
          </cell>
          <cell r="E129" t="str">
            <v>n/a</v>
          </cell>
          <cell r="F129" t="str">
            <v>n/a</v>
          </cell>
          <cell r="G129" t="str">
            <v>n/a</v>
          </cell>
        </row>
        <row r="130">
          <cell r="A130" t="str">
            <v>IBB01</v>
          </cell>
          <cell r="B130">
            <v>43280</v>
          </cell>
          <cell r="C130" t="str">
            <v>1.43%</v>
          </cell>
          <cell r="D130" t="str">
            <v>3.38%</v>
          </cell>
          <cell r="E130" t="str">
            <v>14.11%</v>
          </cell>
          <cell r="F130" t="str">
            <v>9.74%</v>
          </cell>
          <cell r="G130" t="str">
            <v>15.19%</v>
          </cell>
        </row>
        <row r="131">
          <cell r="A131" t="str">
            <v>IBB03</v>
          </cell>
          <cell r="B131">
            <v>43280</v>
          </cell>
          <cell r="C131" t="str">
            <v>3.17%</v>
          </cell>
          <cell r="D131" t="str">
            <v>8.17%</v>
          </cell>
          <cell r="E131" t="str">
            <v>7.46%</v>
          </cell>
          <cell r="F131" t="str">
            <v>7.54%</v>
          </cell>
          <cell r="G131" t="str">
            <v>9.23%</v>
          </cell>
        </row>
        <row r="132">
          <cell r="A132" t="str">
            <v>IBB04</v>
          </cell>
          <cell r="B132">
            <v>43280</v>
          </cell>
          <cell r="C132" t="str">
            <v>-0.23%</v>
          </cell>
          <cell r="D132" t="str">
            <v>2.03%</v>
          </cell>
          <cell r="E132" t="str">
            <v>10.52%</v>
          </cell>
          <cell r="F132" t="str">
            <v>9.42%</v>
          </cell>
          <cell r="G132" t="str">
            <v>13.18%</v>
          </cell>
        </row>
        <row r="133">
          <cell r="A133" t="str">
            <v>IBB05</v>
          </cell>
          <cell r="B133">
            <v>43280</v>
          </cell>
          <cell r="C133" t="str">
            <v>1.91%</v>
          </cell>
          <cell r="D133" t="str">
            <v>4.26%</v>
          </cell>
          <cell r="E133" t="str">
            <v>13.25%</v>
          </cell>
          <cell r="F133" t="str">
            <v>9.38%</v>
          </cell>
          <cell r="G133" t="str">
            <v>14.12%</v>
          </cell>
        </row>
        <row r="134">
          <cell r="A134" t="str">
            <v>IBB09</v>
          </cell>
          <cell r="B134">
            <v>43280</v>
          </cell>
          <cell r="C134" t="str">
            <v>0.25%</v>
          </cell>
          <cell r="D134" t="str">
            <v>0.45%</v>
          </cell>
          <cell r="E134" t="str">
            <v>3.99%</v>
          </cell>
          <cell r="F134" t="str">
            <v>4.06%</v>
          </cell>
          <cell r="G134" t="str">
            <v>5.14%</v>
          </cell>
        </row>
        <row r="135">
          <cell r="A135" t="str">
            <v>IBB10</v>
          </cell>
          <cell r="B135">
            <v>43280</v>
          </cell>
          <cell r="C135" t="str">
            <v>0.40%</v>
          </cell>
          <cell r="D135" t="str">
            <v>0.83%</v>
          </cell>
          <cell r="E135" t="str">
            <v>5.65%</v>
          </cell>
          <cell r="F135" t="str">
            <v>5.73%</v>
          </cell>
          <cell r="G135" t="str">
            <v>7.03%</v>
          </cell>
        </row>
        <row r="136">
          <cell r="A136" t="str">
            <v>IBB11</v>
          </cell>
          <cell r="B136">
            <v>43280</v>
          </cell>
          <cell r="C136" t="str">
            <v>0.52%</v>
          </cell>
          <cell r="D136" t="str">
            <v>1.17%</v>
          </cell>
          <cell r="E136" t="str">
            <v>6.82%</v>
          </cell>
          <cell r="F136" t="str">
            <v>6.85%</v>
          </cell>
          <cell r="G136" t="str">
            <v>8.43%</v>
          </cell>
        </row>
        <row r="137">
          <cell r="A137" t="str">
            <v>IBB12</v>
          </cell>
          <cell r="B137">
            <v>43280</v>
          </cell>
          <cell r="C137" t="str">
            <v>0.74%</v>
          </cell>
          <cell r="D137" t="str">
            <v>1.65%</v>
          </cell>
          <cell r="E137" t="str">
            <v>7.97%</v>
          </cell>
          <cell r="F137" t="str">
            <v>8.53%</v>
          </cell>
          <cell r="G137" t="str">
            <v>9.78%</v>
          </cell>
        </row>
        <row r="138">
          <cell r="A138" t="str">
            <v>IBB13</v>
          </cell>
          <cell r="B138">
            <v>43280</v>
          </cell>
          <cell r="C138" t="str">
            <v>0.60%</v>
          </cell>
          <cell r="D138" t="str">
            <v>0.46%</v>
          </cell>
          <cell r="E138" t="str">
            <v>6.69%</v>
          </cell>
          <cell r="F138" t="str">
            <v>7.59%</v>
          </cell>
          <cell r="G138" t="str">
            <v>9.69%</v>
          </cell>
        </row>
        <row r="139">
          <cell r="A139" t="str">
            <v>ORB01</v>
          </cell>
          <cell r="B139">
            <v>43280</v>
          </cell>
          <cell r="C139" t="str">
            <v>2.18%</v>
          </cell>
          <cell r="D139" t="str">
            <v>0.90%</v>
          </cell>
          <cell r="E139" t="str">
            <v>13.66%</v>
          </cell>
          <cell r="F139" t="str">
            <v>n/a</v>
          </cell>
          <cell r="G139" t="str">
            <v>n/a</v>
          </cell>
        </row>
        <row r="140">
          <cell r="A140" t="str">
            <v>PMW01</v>
          </cell>
          <cell r="B140">
            <v>43280</v>
          </cell>
          <cell r="C140" t="str">
            <v>5.61%</v>
          </cell>
          <cell r="D140" t="str">
            <v>1.85%</v>
          </cell>
          <cell r="E140" t="str">
            <v>4.76%</v>
          </cell>
          <cell r="F140" t="str">
            <v>5.26%</v>
          </cell>
          <cell r="G140" t="str">
            <v>9.68%</v>
          </cell>
        </row>
        <row r="141">
          <cell r="A141" t="str">
            <v>CFM01</v>
          </cell>
          <cell r="B141">
            <v>43280</v>
          </cell>
          <cell r="C141" t="str">
            <v>2.04%</v>
          </cell>
          <cell r="D141" t="str">
            <v>10.04%</v>
          </cell>
          <cell r="E141" t="str">
            <v>12.16%</v>
          </cell>
          <cell r="F141" t="str">
            <v>9.87%</v>
          </cell>
          <cell r="G141" t="str">
            <v>n/a</v>
          </cell>
        </row>
        <row r="142">
          <cell r="A142" t="str">
            <v>CFM02</v>
          </cell>
          <cell r="B142">
            <v>43280</v>
          </cell>
          <cell r="C142" t="str">
            <v>n/a</v>
          </cell>
          <cell r="D142" t="str">
            <v>4.25%</v>
          </cell>
          <cell r="E142" t="str">
            <v>20.04%</v>
          </cell>
          <cell r="F142" t="str">
            <v>19.10%</v>
          </cell>
          <cell r="G142" t="str">
            <v>16.18%</v>
          </cell>
        </row>
        <row r="143">
          <cell r="A143" t="str">
            <v>PMF01</v>
          </cell>
          <cell r="B143">
            <v>43280</v>
          </cell>
          <cell r="C143" t="str">
            <v>0.00%</v>
          </cell>
          <cell r="D143" t="str">
            <v>-0.13%</v>
          </cell>
          <cell r="E143" t="str">
            <v>1.05%</v>
          </cell>
          <cell r="F143" t="str">
            <v>3.91%</v>
          </cell>
          <cell r="G143" t="str">
            <v>4.95%</v>
          </cell>
        </row>
        <row r="144">
          <cell r="A144" t="str">
            <v>PMF02</v>
          </cell>
          <cell r="B144">
            <v>43280</v>
          </cell>
          <cell r="C144" t="str">
            <v>0.29%</v>
          </cell>
          <cell r="D144" t="str">
            <v>0.27%</v>
          </cell>
          <cell r="E144" t="str">
            <v>2.52%</v>
          </cell>
          <cell r="F144" t="str">
            <v>3.98%</v>
          </cell>
          <cell r="G144" t="str">
            <v>4.92%</v>
          </cell>
        </row>
        <row r="145">
          <cell r="A145" t="str">
            <v>PMF03</v>
          </cell>
          <cell r="B145">
            <v>43280</v>
          </cell>
          <cell r="C145" t="str">
            <v>0.19%</v>
          </cell>
          <cell r="D145" t="str">
            <v>0.08%</v>
          </cell>
          <cell r="E145" t="str">
            <v>2.34%</v>
          </cell>
          <cell r="F145" t="str">
            <v>4.66%</v>
          </cell>
          <cell r="G145" t="str">
            <v>5.69%</v>
          </cell>
        </row>
        <row r="146">
          <cell r="A146" t="str">
            <v>PMF04</v>
          </cell>
          <cell r="B146">
            <v>43280</v>
          </cell>
          <cell r="C146" t="str">
            <v>0.40%</v>
          </cell>
          <cell r="D146" t="str">
            <v>0.49%</v>
          </cell>
          <cell r="E146" t="str">
            <v>2.72%</v>
          </cell>
          <cell r="F146" t="str">
            <v>3.30%</v>
          </cell>
          <cell r="G146" t="str">
            <v>4.24%</v>
          </cell>
        </row>
        <row r="147">
          <cell r="A147" t="str">
            <v>PMF05</v>
          </cell>
          <cell r="B147">
            <v>43280</v>
          </cell>
          <cell r="C147" t="str">
            <v>0.27%</v>
          </cell>
          <cell r="D147" t="str">
            <v>0.57%</v>
          </cell>
          <cell r="E147" t="str">
            <v>2.41%</v>
          </cell>
          <cell r="F147" t="str">
            <v>2.73%</v>
          </cell>
          <cell r="G147" t="str">
            <v>3.22%</v>
          </cell>
        </row>
        <row r="148">
          <cell r="A148" t="str">
            <v>PMF06</v>
          </cell>
          <cell r="B148">
            <v>43280</v>
          </cell>
          <cell r="C148" t="str">
            <v>-0.21%</v>
          </cell>
          <cell r="D148" t="str">
            <v>0.30%</v>
          </cell>
          <cell r="E148" t="str">
            <v>2.64%</v>
          </cell>
          <cell r="F148" t="str">
            <v>3.37%</v>
          </cell>
          <cell r="G148" t="str">
            <v>n/a</v>
          </cell>
        </row>
        <row r="149">
          <cell r="A149" t="str">
            <v>PMF07</v>
          </cell>
          <cell r="B149">
            <v>43280</v>
          </cell>
          <cell r="C149" t="str">
            <v>-0.48%</v>
          </cell>
          <cell r="D149" t="str">
            <v>-2.12%</v>
          </cell>
          <cell r="E149" t="str">
            <v>1.88%</v>
          </cell>
          <cell r="F149" t="str">
            <v>n/a</v>
          </cell>
          <cell r="G149" t="str">
            <v>n/a</v>
          </cell>
        </row>
        <row r="150">
          <cell r="A150" t="str">
            <v>PMF08</v>
          </cell>
          <cell r="B150">
            <v>43280</v>
          </cell>
          <cell r="C150" t="str">
            <v>-0.13%</v>
          </cell>
          <cell r="D150" t="str">
            <v>-0.66%</v>
          </cell>
          <cell r="E150" t="str">
            <v>1.61%</v>
          </cell>
          <cell r="F150" t="str">
            <v>n/a</v>
          </cell>
          <cell r="G150" t="str">
            <v>n/a</v>
          </cell>
        </row>
        <row r="151">
          <cell r="A151" t="str">
            <v>PMF09</v>
          </cell>
          <cell r="B151">
            <v>43280</v>
          </cell>
          <cell r="C151" t="str">
            <v>0.20%</v>
          </cell>
          <cell r="D151" t="str">
            <v>0.00%</v>
          </cell>
          <cell r="E151" t="str">
            <v>1.70%</v>
          </cell>
          <cell r="F151" t="str">
            <v>n/a</v>
          </cell>
          <cell r="G151" t="str">
            <v>n/a</v>
          </cell>
        </row>
        <row r="152">
          <cell r="A152" t="str">
            <v>PLM01</v>
          </cell>
          <cell r="B152">
            <v>43280</v>
          </cell>
          <cell r="C152" t="str">
            <v>-2.15%</v>
          </cell>
          <cell r="D152" t="str">
            <v>0.07%</v>
          </cell>
          <cell r="E152" t="str">
            <v>15.56%</v>
          </cell>
          <cell r="F152" t="str">
            <v>9.09%</v>
          </cell>
          <cell r="G152" t="str">
            <v>n/a</v>
          </cell>
        </row>
        <row r="153">
          <cell r="A153" t="str">
            <v>PLI01</v>
          </cell>
          <cell r="B153">
            <v>43280</v>
          </cell>
          <cell r="C153" t="str">
            <v>3.36%</v>
          </cell>
          <cell r="D153" t="str">
            <v>8.55%</v>
          </cell>
          <cell r="E153" t="str">
            <v>10.48%</v>
          </cell>
          <cell r="F153" t="str">
            <v>7.21%</v>
          </cell>
          <cell r="G153" t="str">
            <v>9.11%</v>
          </cell>
        </row>
        <row r="154">
          <cell r="A154" t="str">
            <v>PLI02</v>
          </cell>
          <cell r="B154">
            <v>43280</v>
          </cell>
          <cell r="C154" t="str">
            <v>2.70%</v>
          </cell>
          <cell r="D154" t="str">
            <v>5.68%</v>
          </cell>
          <cell r="E154" t="str">
            <v>6.32%</v>
          </cell>
          <cell r="F154" t="str">
            <v>2.66%</v>
          </cell>
          <cell r="G154" t="str">
            <v>n/a</v>
          </cell>
        </row>
        <row r="155">
          <cell r="A155" t="str">
            <v>PLI03</v>
          </cell>
          <cell r="B155">
            <v>43280</v>
          </cell>
          <cell r="C155" t="str">
            <v>1.82%</v>
          </cell>
          <cell r="D155" t="str">
            <v>4.00%</v>
          </cell>
          <cell r="E155" t="str">
            <v>11.56%</v>
          </cell>
          <cell r="F155" t="str">
            <v>n/a</v>
          </cell>
          <cell r="G155" t="str">
            <v>n/a</v>
          </cell>
        </row>
        <row r="156">
          <cell r="A156" t="str">
            <v>PRE01</v>
          </cell>
          <cell r="B156">
            <v>43280</v>
          </cell>
          <cell r="C156" t="str">
            <v>2.25%</v>
          </cell>
          <cell r="D156" t="str">
            <v>6.03%</v>
          </cell>
          <cell r="E156" t="str">
            <v>5.55%</v>
          </cell>
          <cell r="F156" t="str">
            <v>5.05%</v>
          </cell>
          <cell r="G156" t="str">
            <v>8.41%</v>
          </cell>
        </row>
        <row r="157">
          <cell r="A157" t="str">
            <v>QGI01</v>
          </cell>
          <cell r="B157">
            <v>43280</v>
          </cell>
          <cell r="C157" t="str">
            <v>4.75%</v>
          </cell>
          <cell r="D157" t="str">
            <v>10.70%</v>
          </cell>
          <cell r="E157" t="str">
            <v>14.49%</v>
          </cell>
          <cell r="F157" t="str">
            <v>n/a</v>
          </cell>
          <cell r="G157" t="str">
            <v>n/a</v>
          </cell>
        </row>
        <row r="158">
          <cell r="A158" t="str">
            <v>RAI01</v>
          </cell>
          <cell r="B158">
            <v>43280</v>
          </cell>
          <cell r="C158" t="str">
            <v>2.55%</v>
          </cell>
          <cell r="D158" t="str">
            <v>6.58%</v>
          </cell>
          <cell r="E158" t="str">
            <v>0.31%</v>
          </cell>
          <cell r="F158" t="str">
            <v>4.80%</v>
          </cell>
          <cell r="G158" t="str">
            <v>8.55%</v>
          </cell>
        </row>
        <row r="159">
          <cell r="A159" t="str">
            <v>RAI02</v>
          </cell>
          <cell r="B159">
            <v>43280</v>
          </cell>
          <cell r="C159" t="str">
            <v>4.62%</v>
          </cell>
          <cell r="D159" t="str">
            <v>6.63%</v>
          </cell>
          <cell r="E159" t="str">
            <v>3.50%</v>
          </cell>
          <cell r="F159" t="str">
            <v>5.47%</v>
          </cell>
          <cell r="G159" t="str">
            <v>10.09%</v>
          </cell>
        </row>
        <row r="160">
          <cell r="A160" t="str">
            <v>RAI03</v>
          </cell>
          <cell r="B160">
            <v>43280</v>
          </cell>
          <cell r="C160" t="str">
            <v>4.29%</v>
          </cell>
          <cell r="D160" t="str">
            <v>8.34%</v>
          </cell>
          <cell r="E160" t="str">
            <v>-0.83%</v>
          </cell>
          <cell r="F160" t="str">
            <v>5.80%</v>
          </cell>
          <cell r="G160" t="str">
            <v>9.43%</v>
          </cell>
        </row>
        <row r="161">
          <cell r="A161" t="str">
            <v>RAI04</v>
          </cell>
          <cell r="B161">
            <v>43280</v>
          </cell>
          <cell r="C161" t="str">
            <v>-2.84%</v>
          </cell>
          <cell r="D161" t="str">
            <v>-7.04%</v>
          </cell>
          <cell r="E161" t="str">
            <v>-7.84%</v>
          </cell>
          <cell r="F161" t="str">
            <v>0.09%</v>
          </cell>
          <cell r="G161" t="str">
            <v>5.55%</v>
          </cell>
        </row>
        <row r="162">
          <cell r="A162" t="str">
            <v>RLM01</v>
          </cell>
          <cell r="B162">
            <v>43280</v>
          </cell>
          <cell r="C162" t="str">
            <v>0.19%</v>
          </cell>
          <cell r="D162" t="str">
            <v>0.40%</v>
          </cell>
          <cell r="E162" t="str">
            <v>2.22%</v>
          </cell>
          <cell r="F162" t="str">
            <v>3.72%</v>
          </cell>
          <cell r="G162" t="str">
            <v>4.43%</v>
          </cell>
        </row>
        <row r="163">
          <cell r="A163" t="str">
            <v>RLM02</v>
          </cell>
          <cell r="B163">
            <v>43280</v>
          </cell>
          <cell r="C163" t="str">
            <v>0.00%</v>
          </cell>
          <cell r="D163" t="str">
            <v>0.00%</v>
          </cell>
          <cell r="E163" t="str">
            <v>n/a</v>
          </cell>
          <cell r="F163" t="str">
            <v>n/a</v>
          </cell>
          <cell r="G163" t="str">
            <v>n/a</v>
          </cell>
        </row>
        <row r="164">
          <cell r="A164" t="str">
            <v>RPO01</v>
          </cell>
          <cell r="B164">
            <v>43280</v>
          </cell>
          <cell r="C164" t="str">
            <v>2.72%</v>
          </cell>
          <cell r="D164" t="str">
            <v>6.72%</v>
          </cell>
          <cell r="E164" t="str">
            <v>4.88%</v>
          </cell>
          <cell r="F164" t="str">
            <v>9.05%</v>
          </cell>
          <cell r="G164" t="str">
            <v>10.40%</v>
          </cell>
        </row>
        <row r="165">
          <cell r="A165" t="str">
            <v>RPT02</v>
          </cell>
          <cell r="B165">
            <v>43280</v>
          </cell>
          <cell r="C165" t="str">
            <v>3.10%</v>
          </cell>
          <cell r="D165" t="str">
            <v>6.56%</v>
          </cell>
          <cell r="E165" t="str">
            <v>n/a</v>
          </cell>
          <cell r="F165" t="str">
            <v>n/a</v>
          </cell>
          <cell r="G165" t="str">
            <v>n/a</v>
          </cell>
        </row>
        <row r="166">
          <cell r="A166" t="str">
            <v>SCH11</v>
          </cell>
          <cell r="B166">
            <v>43280</v>
          </cell>
          <cell r="C166" t="str">
            <v>0.61%</v>
          </cell>
          <cell r="D166" t="str">
            <v>0.97%</v>
          </cell>
          <cell r="E166" t="str">
            <v>3.69%</v>
          </cell>
          <cell r="F166" t="str">
            <v>3.89%</v>
          </cell>
          <cell r="G166" t="str">
            <v>5.15%</v>
          </cell>
        </row>
        <row r="167">
          <cell r="A167" t="str">
            <v>SCH12</v>
          </cell>
          <cell r="B167">
            <v>43280</v>
          </cell>
          <cell r="C167" t="str">
            <v>0.40%</v>
          </cell>
          <cell r="D167" t="str">
            <v>0.64%</v>
          </cell>
          <cell r="E167" t="str">
            <v>2.64%</v>
          </cell>
          <cell r="F167" t="str">
            <v>3.22%</v>
          </cell>
          <cell r="G167" t="str">
            <v>n/a</v>
          </cell>
        </row>
        <row r="168">
          <cell r="A168" t="str">
            <v>SCH21</v>
          </cell>
          <cell r="B168">
            <v>43280</v>
          </cell>
          <cell r="C168" t="str">
            <v>3.19%</v>
          </cell>
          <cell r="D168" t="str">
            <v>7.53%</v>
          </cell>
          <cell r="E168" t="str">
            <v>12.81%</v>
          </cell>
          <cell r="F168" t="str">
            <v>8.14%</v>
          </cell>
          <cell r="G168" t="str">
            <v>8.57%</v>
          </cell>
        </row>
        <row r="169">
          <cell r="A169" t="str">
            <v>SCH22</v>
          </cell>
          <cell r="B169">
            <v>43280</v>
          </cell>
          <cell r="C169" t="str">
            <v>1.90%</v>
          </cell>
          <cell r="D169" t="str">
            <v>6.32%</v>
          </cell>
          <cell r="E169" t="str">
            <v>15.28%</v>
          </cell>
          <cell r="F169" t="str">
            <v>10.84%</v>
          </cell>
          <cell r="G169" t="str">
            <v>11.16%</v>
          </cell>
        </row>
        <row r="170">
          <cell r="A170" t="str">
            <v>SCH31</v>
          </cell>
          <cell r="B170">
            <v>43280</v>
          </cell>
          <cell r="C170" t="str">
            <v>2.09%</v>
          </cell>
          <cell r="D170" t="str">
            <v>4.63%</v>
          </cell>
          <cell r="E170" t="str">
            <v>13.31%</v>
          </cell>
          <cell r="F170" t="str">
            <v>9.30%</v>
          </cell>
          <cell r="G170" t="str">
            <v>14.22%</v>
          </cell>
        </row>
        <row r="171">
          <cell r="A171" t="str">
            <v>SCH41</v>
          </cell>
          <cell r="B171">
            <v>43280</v>
          </cell>
          <cell r="C171" t="str">
            <v>0.20%</v>
          </cell>
          <cell r="D171" t="str">
            <v>-2.98%</v>
          </cell>
          <cell r="E171" t="str">
            <v>15.29%</v>
          </cell>
          <cell r="F171" t="str">
            <v>9.27%</v>
          </cell>
          <cell r="G171" t="str">
            <v>10.76%</v>
          </cell>
        </row>
        <row r="172">
          <cell r="A172" t="str">
            <v>SCH42</v>
          </cell>
          <cell r="B172">
            <v>43280</v>
          </cell>
          <cell r="C172" t="str">
            <v>-0.16%</v>
          </cell>
          <cell r="D172" t="str">
            <v>1.75%</v>
          </cell>
          <cell r="E172" t="str">
            <v>19.65%</v>
          </cell>
          <cell r="F172" t="str">
            <v>15.10%</v>
          </cell>
          <cell r="G172" t="str">
            <v>15.98%</v>
          </cell>
        </row>
        <row r="173">
          <cell r="A173" t="str">
            <v>SCH45</v>
          </cell>
          <cell r="B173">
            <v>43280</v>
          </cell>
          <cell r="C173" t="str">
            <v>0.71%</v>
          </cell>
          <cell r="D173" t="str">
            <v>0.36%</v>
          </cell>
          <cell r="E173" t="str">
            <v>n/a</v>
          </cell>
          <cell r="F173" t="str">
            <v>n/a</v>
          </cell>
          <cell r="G173" t="str">
            <v>n/a</v>
          </cell>
        </row>
        <row r="174">
          <cell r="A174" t="str">
            <v>SCH51</v>
          </cell>
          <cell r="B174">
            <v>43280</v>
          </cell>
          <cell r="C174" t="str">
            <v>0.47%</v>
          </cell>
          <cell r="D174" t="str">
            <v>0.77%</v>
          </cell>
          <cell r="E174" t="str">
            <v>2.72%</v>
          </cell>
          <cell r="F174" t="str">
            <v>2.80%</v>
          </cell>
          <cell r="G174" t="str">
            <v>3.59%</v>
          </cell>
        </row>
        <row r="175">
          <cell r="A175" t="str">
            <v>SCH55</v>
          </cell>
          <cell r="B175">
            <v>43280</v>
          </cell>
          <cell r="C175" t="str">
            <v>0.27%</v>
          </cell>
          <cell r="D175" t="str">
            <v>0.25%</v>
          </cell>
          <cell r="E175" t="str">
            <v>2.63%</v>
          </cell>
          <cell r="F175" t="str">
            <v>3.18%</v>
          </cell>
          <cell r="G175" t="str">
            <v>3.46%</v>
          </cell>
        </row>
        <row r="176">
          <cell r="A176" t="str">
            <v>SHF01</v>
          </cell>
          <cell r="B176">
            <v>43280</v>
          </cell>
          <cell r="C176" t="str">
            <v>2.24%</v>
          </cell>
          <cell r="D176" t="str">
            <v>9.67%</v>
          </cell>
          <cell r="E176" t="str">
            <v>23.24%</v>
          </cell>
          <cell r="F176" t="str">
            <v>15.92%</v>
          </cell>
          <cell r="G176" t="str">
            <v>12.68%</v>
          </cell>
        </row>
        <row r="177">
          <cell r="A177" t="str">
            <v>SHF02</v>
          </cell>
          <cell r="B177">
            <v>43280</v>
          </cell>
          <cell r="C177" t="str">
            <v>1.22%</v>
          </cell>
          <cell r="D177" t="str">
            <v>5.70%</v>
          </cell>
          <cell r="E177" t="str">
            <v>14.93%</v>
          </cell>
          <cell r="F177" t="str">
            <v>9.88%</v>
          </cell>
          <cell r="G177" t="str">
            <v>13.45%</v>
          </cell>
        </row>
        <row r="178">
          <cell r="A178" t="str">
            <v>SHF03</v>
          </cell>
          <cell r="B178">
            <v>43280</v>
          </cell>
          <cell r="C178" t="str">
            <v>1.52%</v>
          </cell>
          <cell r="D178" t="str">
            <v>8.49%</v>
          </cell>
          <cell r="E178" t="str">
            <v>10.63%</v>
          </cell>
          <cell r="F178" t="str">
            <v>9.42%</v>
          </cell>
          <cell r="G178" t="str">
            <v>12.21%</v>
          </cell>
        </row>
        <row r="179">
          <cell r="A179" t="str">
            <v>SHF04</v>
          </cell>
          <cell r="B179">
            <v>43280</v>
          </cell>
          <cell r="C179" t="str">
            <v>-4.36%</v>
          </cell>
          <cell r="D179" t="str">
            <v>-2.35%</v>
          </cell>
          <cell r="E179" t="str">
            <v>25.91%</v>
          </cell>
          <cell r="F179" t="str">
            <v>25.09%</v>
          </cell>
          <cell r="G179" t="str">
            <v>24.69%</v>
          </cell>
        </row>
        <row r="180">
          <cell r="A180" t="str">
            <v>SHF07</v>
          </cell>
          <cell r="B180">
            <v>43280</v>
          </cell>
          <cell r="C180" t="str">
            <v>1.71%</v>
          </cell>
          <cell r="D180" t="str">
            <v>7.69%</v>
          </cell>
          <cell r="E180" t="str">
            <v>21.29%</v>
          </cell>
          <cell r="F180" t="str">
            <v>18.55%</v>
          </cell>
          <cell r="G180" t="str">
            <v>n/a</v>
          </cell>
        </row>
        <row r="181">
          <cell r="A181" t="str">
            <v>SMF01</v>
          </cell>
          <cell r="B181">
            <v>43280</v>
          </cell>
          <cell r="C181" t="str">
            <v>0.09%</v>
          </cell>
          <cell r="D181" t="str">
            <v>0.44%</v>
          </cell>
          <cell r="E181" t="str">
            <v>2.03%</v>
          </cell>
          <cell r="F181" t="str">
            <v>2.85%</v>
          </cell>
          <cell r="G181" t="str">
            <v>3.20%</v>
          </cell>
        </row>
        <row r="182">
          <cell r="A182" t="str">
            <v>SMF02</v>
          </cell>
          <cell r="B182">
            <v>43280</v>
          </cell>
          <cell r="C182" t="str">
            <v>0.19%</v>
          </cell>
          <cell r="D182" t="str">
            <v>0.55%</v>
          </cell>
          <cell r="E182" t="str">
            <v>2.29%</v>
          </cell>
          <cell r="F182" t="str">
            <v>3.20%</v>
          </cell>
          <cell r="G182" t="str">
            <v>n/a</v>
          </cell>
        </row>
        <row r="183">
          <cell r="A183" t="str">
            <v>SPE01</v>
          </cell>
          <cell r="B183">
            <v>43280</v>
          </cell>
          <cell r="C183" t="str">
            <v>0.41%</v>
          </cell>
          <cell r="D183" t="str">
            <v>0.79%</v>
          </cell>
          <cell r="E183" t="str">
            <v>4.12%</v>
          </cell>
          <cell r="F183" t="str">
            <v>4.68%</v>
          </cell>
          <cell r="G183" t="str">
            <v>5.34%</v>
          </cell>
        </row>
        <row r="184">
          <cell r="A184" t="str">
            <v>SPM01</v>
          </cell>
          <cell r="B184">
            <v>43280</v>
          </cell>
          <cell r="C184" t="str">
            <v>0.35%</v>
          </cell>
          <cell r="D184" t="str">
            <v>1.38%</v>
          </cell>
          <cell r="E184" t="str">
            <v>16.19%</v>
          </cell>
          <cell r="F184" t="str">
            <v>n/a</v>
          </cell>
          <cell r="G184" t="str">
            <v>n/a</v>
          </cell>
        </row>
        <row r="185">
          <cell r="A185" t="str">
            <v>SPM02</v>
          </cell>
          <cell r="B185">
            <v>43280</v>
          </cell>
          <cell r="C185" t="str">
            <v>0.24%</v>
          </cell>
          <cell r="D185" t="str">
            <v>5.08%</v>
          </cell>
          <cell r="E185" t="str">
            <v>22.02%</v>
          </cell>
          <cell r="F185" t="str">
            <v>20.82%</v>
          </cell>
          <cell r="G185" t="str">
            <v>14.18%</v>
          </cell>
        </row>
        <row r="186">
          <cell r="A186" t="str">
            <v>SPM03</v>
          </cell>
          <cell r="B186">
            <v>43280</v>
          </cell>
          <cell r="C186" t="str">
            <v>0.58%</v>
          </cell>
          <cell r="D186" t="str">
            <v>6.87%</v>
          </cell>
          <cell r="E186" t="str">
            <v>22.26%</v>
          </cell>
          <cell r="F186" t="str">
            <v>14.70%</v>
          </cell>
          <cell r="G186" t="str">
            <v>13.64%</v>
          </cell>
        </row>
        <row r="187">
          <cell r="A187" t="str">
            <v>UAM01</v>
          </cell>
          <cell r="B187">
            <v>43280</v>
          </cell>
          <cell r="C187" t="str">
            <v>0.73%</v>
          </cell>
          <cell r="D187" t="str">
            <v>7.18%</v>
          </cell>
          <cell r="E187" t="str">
            <v>26.90%</v>
          </cell>
          <cell r="F187" t="str">
            <v>16.83%</v>
          </cell>
          <cell r="G187" t="str">
            <v>16.42%</v>
          </cell>
        </row>
        <row r="188">
          <cell r="A188" t="str">
            <v>UAM02</v>
          </cell>
          <cell r="B188">
            <v>43280</v>
          </cell>
          <cell r="C188" t="str">
            <v>3.23%</v>
          </cell>
          <cell r="D188" t="str">
            <v>5.90%</v>
          </cell>
          <cell r="E188" t="str">
            <v>21.35%</v>
          </cell>
          <cell r="F188" t="str">
            <v>17.05%</v>
          </cell>
          <cell r="G188" t="str">
            <v>n/a</v>
          </cell>
        </row>
        <row r="189">
          <cell r="A189" t="str">
            <v>UAM03</v>
          </cell>
          <cell r="B189">
            <v>43280</v>
          </cell>
          <cell r="C189" t="str">
            <v>3.90%</v>
          </cell>
          <cell r="D189" t="str">
            <v>4.74%</v>
          </cell>
          <cell r="E189" t="str">
            <v>8.94%</v>
          </cell>
          <cell r="F189" t="str">
            <v>4.09%</v>
          </cell>
          <cell r="G189" t="str">
            <v>6.41%</v>
          </cell>
        </row>
        <row r="190">
          <cell r="A190" t="str">
            <v>UAM04</v>
          </cell>
          <cell r="B190">
            <v>43280</v>
          </cell>
          <cell r="C190" t="str">
            <v>0.48%</v>
          </cell>
          <cell r="D190" t="str">
            <v>0.77%</v>
          </cell>
          <cell r="E190" t="str">
            <v>3.26%</v>
          </cell>
          <cell r="F190" t="str">
            <v>3.57%</v>
          </cell>
          <cell r="G190" t="str">
            <v>4.29%</v>
          </cell>
        </row>
        <row r="191">
          <cell r="A191" t="str">
            <v>UAM05</v>
          </cell>
          <cell r="B191">
            <v>43280</v>
          </cell>
          <cell r="C191" t="str">
            <v>0.21%</v>
          </cell>
          <cell r="D191" t="str">
            <v>0.70%</v>
          </cell>
          <cell r="E191" t="str">
            <v>3.43%</v>
          </cell>
          <cell r="F191" t="str">
            <v>3.79%</v>
          </cell>
          <cell r="G191" t="str">
            <v>4.26%</v>
          </cell>
        </row>
        <row r="192">
          <cell r="A192" t="str">
            <v>UAM06</v>
          </cell>
          <cell r="B192">
            <v>43280</v>
          </cell>
          <cell r="C192" t="str">
            <v>0.37%</v>
          </cell>
          <cell r="D192" t="str">
            <v>0.55%</v>
          </cell>
          <cell r="E192" t="str">
            <v>3.08%</v>
          </cell>
          <cell r="F192" t="str">
            <v>3.60%</v>
          </cell>
          <cell r="G192" t="str">
            <v>4.44%</v>
          </cell>
        </row>
        <row r="193">
          <cell r="A193" t="str">
            <v>UAM07</v>
          </cell>
          <cell r="B193">
            <v>43280</v>
          </cell>
          <cell r="C193" t="str">
            <v>0.75%</v>
          </cell>
          <cell r="D193" t="str">
            <v>2.23%</v>
          </cell>
          <cell r="E193" t="str">
            <v>6.21%</v>
          </cell>
          <cell r="F193" t="str">
            <v>4.79%</v>
          </cell>
          <cell r="G193" t="str">
            <v>7.02%</v>
          </cell>
        </row>
        <row r="194">
          <cell r="A194" t="str">
            <v>UAM08</v>
          </cell>
          <cell r="B194">
            <v>43280</v>
          </cell>
          <cell r="C194" t="str">
            <v>0.90%</v>
          </cell>
          <cell r="D194" t="str">
            <v>3.15%</v>
          </cell>
          <cell r="E194" t="str">
            <v>8.01%</v>
          </cell>
          <cell r="F194" t="str">
            <v>5.79%</v>
          </cell>
          <cell r="G194" t="str">
            <v>8.23%</v>
          </cell>
        </row>
        <row r="195">
          <cell r="A195" t="str">
            <v>UAM09</v>
          </cell>
          <cell r="B195">
            <v>43280</v>
          </cell>
          <cell r="C195" t="str">
            <v>0.49%</v>
          </cell>
          <cell r="D195" t="str">
            <v>1.11%</v>
          </cell>
          <cell r="E195" t="str">
            <v>4.09%</v>
          </cell>
          <cell r="F195" t="str">
            <v>3.59%</v>
          </cell>
          <cell r="G195" t="str">
            <v>5.62%</v>
          </cell>
        </row>
        <row r="196">
          <cell r="A196" t="str">
            <v>UAM10</v>
          </cell>
          <cell r="B196">
            <v>43280</v>
          </cell>
          <cell r="C196" t="str">
            <v>2.73%</v>
          </cell>
          <cell r="D196" t="str">
            <v>6.55%</v>
          </cell>
          <cell r="E196" t="str">
            <v>5.59%</v>
          </cell>
          <cell r="F196" t="str">
            <v>5.52%</v>
          </cell>
          <cell r="G196" t="str">
            <v>8.41%</v>
          </cell>
        </row>
        <row r="197">
          <cell r="A197" t="str">
            <v>UAM11</v>
          </cell>
          <cell r="B197">
            <v>43280</v>
          </cell>
          <cell r="C197" t="str">
            <v>2.17%</v>
          </cell>
          <cell r="D197" t="str">
            <v>9.40%</v>
          </cell>
          <cell r="E197" t="str">
            <v>11.50%</v>
          </cell>
          <cell r="F197" t="str">
            <v>9.90%</v>
          </cell>
          <cell r="G197" t="str">
            <v>11.90%</v>
          </cell>
        </row>
        <row r="198">
          <cell r="A198" t="str">
            <v>UAM13</v>
          </cell>
          <cell r="B198">
            <v>43280</v>
          </cell>
          <cell r="C198" t="str">
            <v>0.10%</v>
          </cell>
          <cell r="D198" t="str">
            <v>3.22%</v>
          </cell>
          <cell r="E198" t="str">
            <v>10.33%</v>
          </cell>
          <cell r="F198" t="str">
            <v>n/a</v>
          </cell>
          <cell r="G198" t="str">
            <v>n/a</v>
          </cell>
        </row>
        <row r="199">
          <cell r="A199" t="str">
            <v>UAM12</v>
          </cell>
          <cell r="B199">
            <v>43280</v>
          </cell>
          <cell r="C199" t="str">
            <v>1.81%</v>
          </cell>
          <cell r="D199" t="str">
            <v>6.22%</v>
          </cell>
          <cell r="E199" t="str">
            <v>4.67%</v>
          </cell>
          <cell r="F199" t="str">
            <v>n/a</v>
          </cell>
          <cell r="G199" t="str">
            <v>n/a</v>
          </cell>
        </row>
        <row r="200">
          <cell r="A200" t="str">
            <v>LMA04</v>
          </cell>
          <cell r="B200">
            <v>43280</v>
          </cell>
          <cell r="C200" t="str">
            <v>0.44%</v>
          </cell>
          <cell r="D200" t="str">
            <v>0.75%</v>
          </cell>
          <cell r="E200" t="str">
            <v>3.35%</v>
          </cell>
          <cell r="F200" t="str">
            <v>3.66%</v>
          </cell>
          <cell r="G200" t="str">
            <v>4.69%</v>
          </cell>
        </row>
      </sheetData>
      <sheetData sheetId="38">
        <row r="3">
          <cell r="B3" t="str">
            <v>MAX</v>
          </cell>
          <cell r="C3">
            <v>7.8349000000000002</v>
          </cell>
          <cell r="D3">
            <v>6.71</v>
          </cell>
          <cell r="E3">
            <v>1.1249000000000002</v>
          </cell>
          <cell r="F3">
            <v>43249</v>
          </cell>
        </row>
        <row r="4">
          <cell r="B4" t="str">
            <v>KAT</v>
          </cell>
          <cell r="C4">
            <v>0.96299999999999997</v>
          </cell>
          <cell r="D4">
            <v>0.93</v>
          </cell>
          <cell r="E4">
            <v>3.2999999999999918E-2</v>
          </cell>
          <cell r="F4">
            <v>43251</v>
          </cell>
        </row>
        <row r="5">
          <cell r="B5" t="str">
            <v>ALF</v>
          </cell>
          <cell r="C5">
            <v>1.22</v>
          </cell>
          <cell r="D5">
            <v>1.23</v>
          </cell>
          <cell r="E5">
            <v>-1.0000000000000009E-2</v>
          </cell>
          <cell r="F5">
            <v>43251</v>
          </cell>
        </row>
        <row r="6">
          <cell r="B6" t="str">
            <v>PIA</v>
          </cell>
          <cell r="C6">
            <v>1.2178</v>
          </cell>
          <cell r="D6">
            <v>1.23</v>
          </cell>
          <cell r="E6">
            <v>-1.2199999999999989E-2</v>
          </cell>
          <cell r="F6">
            <v>43251</v>
          </cell>
        </row>
        <row r="7">
          <cell r="B7" t="str">
            <v>MGG</v>
          </cell>
          <cell r="C7">
            <v>1.6197999999999999</v>
          </cell>
          <cell r="D7">
            <v>1.54</v>
          </cell>
          <cell r="E7">
            <v>7.9799999999999871E-2</v>
          </cell>
          <cell r="F7">
            <v>43248</v>
          </cell>
        </row>
        <row r="8">
          <cell r="B8" t="str">
            <v>WAA</v>
          </cell>
          <cell r="C8">
            <v>1.0900000000000001</v>
          </cell>
          <cell r="D8">
            <v>1.07</v>
          </cell>
          <cell r="E8">
            <v>2.0000000000000018E-2</v>
          </cell>
          <cell r="F8">
            <v>43251</v>
          </cell>
        </row>
        <row r="9">
          <cell r="B9" t="str">
            <v>AYF</v>
          </cell>
          <cell r="C9">
            <v>5.9139999999999997</v>
          </cell>
          <cell r="D9">
            <v>5.92</v>
          </cell>
          <cell r="E9">
            <v>-6.0000000000002274E-3</v>
          </cell>
          <cell r="F9">
            <v>43251</v>
          </cell>
        </row>
        <row r="10">
          <cell r="B10" t="str">
            <v>BSN</v>
          </cell>
          <cell r="C10" t="str">
            <v/>
          </cell>
          <cell r="D10">
            <v>0</v>
          </cell>
          <cell r="E10" t="e">
            <v>#VALUE!</v>
          </cell>
          <cell r="F10">
            <v>43251</v>
          </cell>
        </row>
        <row r="11">
          <cell r="B11" t="str">
            <v>WGB</v>
          </cell>
          <cell r="D11">
            <v>0</v>
          </cell>
          <cell r="E11">
            <v>0</v>
          </cell>
          <cell r="F11">
            <v>43251</v>
          </cell>
        </row>
        <row r="12">
          <cell r="B12" t="str">
            <v>EFF</v>
          </cell>
          <cell r="D12">
            <v>0</v>
          </cell>
          <cell r="E12">
            <v>0</v>
          </cell>
          <cell r="F12">
            <v>43251</v>
          </cell>
        </row>
        <row r="13">
          <cell r="B13" t="str">
            <v>OEQ</v>
          </cell>
          <cell r="C13">
            <v>0.27850000000000003</v>
          </cell>
          <cell r="D13">
            <v>0.3</v>
          </cell>
          <cell r="E13">
            <v>-2.1499999999999964E-2</v>
          </cell>
          <cell r="F13">
            <v>43251</v>
          </cell>
        </row>
        <row r="14">
          <cell r="B14" t="str">
            <v>SVS</v>
          </cell>
          <cell r="C14">
            <v>0.47</v>
          </cell>
          <cell r="D14">
            <v>0.46</v>
          </cell>
          <cell r="E14">
            <v>9.9999999999999534E-3</v>
          </cell>
          <cell r="F14">
            <v>43251</v>
          </cell>
        </row>
        <row r="15">
          <cell r="B15" t="str">
            <v>IPE</v>
          </cell>
          <cell r="C15">
            <v>6.9000000000000006E-2</v>
          </cell>
          <cell r="D15">
            <v>7.0000000000000007E-2</v>
          </cell>
          <cell r="E15">
            <v>-1.0000000000000009E-3</v>
          </cell>
          <cell r="F15">
            <v>43251</v>
          </cell>
        </row>
        <row r="16">
          <cell r="B16" t="str">
            <v>NGE</v>
          </cell>
          <cell r="C16">
            <v>0.8</v>
          </cell>
          <cell r="D16">
            <v>0.8</v>
          </cell>
          <cell r="E16">
            <v>0</v>
          </cell>
          <cell r="F16">
            <v>43251</v>
          </cell>
        </row>
        <row r="17">
          <cell r="B17" t="str">
            <v>BEL</v>
          </cell>
          <cell r="C17">
            <v>0.12909999999999999</v>
          </cell>
          <cell r="D17">
            <v>0.15</v>
          </cell>
          <cell r="E17">
            <v>-2.0900000000000002E-2</v>
          </cell>
          <cell r="F17">
            <v>43251</v>
          </cell>
        </row>
        <row r="18">
          <cell r="B18" t="str">
            <v>BTI</v>
          </cell>
          <cell r="C18">
            <v>1.07</v>
          </cell>
          <cell r="D18">
            <v>1.03</v>
          </cell>
          <cell r="E18">
            <v>4.0000000000000036E-2</v>
          </cell>
          <cell r="F18">
            <v>43251</v>
          </cell>
        </row>
        <row r="19">
          <cell r="B19" t="str">
            <v>MVT</v>
          </cell>
          <cell r="C19">
            <v>0.19739999999999999</v>
          </cell>
          <cell r="D19">
            <v>0.18</v>
          </cell>
          <cell r="E19">
            <v>1.7399999999999999E-2</v>
          </cell>
          <cell r="F19">
            <v>43251</v>
          </cell>
        </row>
        <row r="20">
          <cell r="B20" t="str">
            <v>OZG</v>
          </cell>
          <cell r="C20">
            <v>0.23</v>
          </cell>
          <cell r="D20">
            <v>0.23</v>
          </cell>
          <cell r="E20">
            <v>0</v>
          </cell>
          <cell r="F20">
            <v>43251</v>
          </cell>
        </row>
        <row r="21">
          <cell r="B21" t="str">
            <v>BST</v>
          </cell>
          <cell r="C21">
            <v>1.173</v>
          </cell>
          <cell r="D21">
            <v>1.1499999999999999</v>
          </cell>
          <cell r="E21">
            <v>2.3000000000000131E-2</v>
          </cell>
          <cell r="F21">
            <v>43251</v>
          </cell>
        </row>
        <row r="22">
          <cell r="B22" t="str">
            <v>GC1</v>
          </cell>
          <cell r="C22">
            <v>1.19</v>
          </cell>
          <cell r="D22">
            <v>1.1200000000000001</v>
          </cell>
          <cell r="E22">
            <v>6.999999999999984E-2</v>
          </cell>
          <cell r="F22">
            <v>43251</v>
          </cell>
        </row>
        <row r="23">
          <cell r="B23" t="str">
            <v>RYD</v>
          </cell>
          <cell r="C23">
            <v>1.4417</v>
          </cell>
          <cell r="D23">
            <v>1.36</v>
          </cell>
          <cell r="E23">
            <v>8.1699999999999884E-2</v>
          </cell>
          <cell r="F23">
            <v>43251</v>
          </cell>
        </row>
        <row r="24">
          <cell r="B24" t="str">
            <v>HHY</v>
          </cell>
          <cell r="C24">
            <v>8.5500000000000007E-2</v>
          </cell>
          <cell r="D24">
            <v>0.09</v>
          </cell>
          <cell r="E24">
            <v>-4.4999999999999901E-3</v>
          </cell>
          <cell r="F24">
            <v>43251</v>
          </cell>
        </row>
        <row r="25">
          <cell r="B25" t="str">
            <v>8EC</v>
          </cell>
          <cell r="C25">
            <v>1.0295000000000001</v>
          </cell>
          <cell r="D25">
            <v>1.02</v>
          </cell>
          <cell r="E25">
            <v>9.5000000000000639E-3</v>
          </cell>
          <cell r="F25">
            <v>43251</v>
          </cell>
        </row>
        <row r="26">
          <cell r="B26" t="str">
            <v>CBC</v>
          </cell>
          <cell r="C26">
            <v>1.0366</v>
          </cell>
          <cell r="D26">
            <v>1.01</v>
          </cell>
          <cell r="E26">
            <v>2.6599999999999957E-2</v>
          </cell>
          <cell r="F26">
            <v>43251</v>
          </cell>
        </row>
        <row r="27">
          <cell r="B27" t="str">
            <v>MA1</v>
          </cell>
          <cell r="C27">
            <v>0.97350000000000003</v>
          </cell>
          <cell r="D27">
            <v>0.97</v>
          </cell>
          <cell r="E27">
            <v>3.5000000000000586E-3</v>
          </cell>
          <cell r="F27">
            <v>43251</v>
          </cell>
        </row>
        <row r="28">
          <cell r="B28" t="str">
            <v>MEC</v>
          </cell>
          <cell r="C28">
            <v>1.1678999999999999</v>
          </cell>
          <cell r="D28">
            <v>1.1399999999999999</v>
          </cell>
          <cell r="E28">
            <v>2.7900000000000036E-2</v>
          </cell>
          <cell r="F28">
            <v>43251</v>
          </cell>
        </row>
        <row r="29">
          <cell r="B29" t="str">
            <v>BHD</v>
          </cell>
          <cell r="C29">
            <v>1.0529999999999999</v>
          </cell>
          <cell r="D29">
            <v>1.05</v>
          </cell>
          <cell r="E29">
            <v>2.9999999999998916E-3</v>
          </cell>
          <cell r="F29">
            <v>43251</v>
          </cell>
        </row>
        <row r="30">
          <cell r="B30" t="str">
            <v>NAC</v>
          </cell>
          <cell r="C30">
            <v>1.1100000000000001</v>
          </cell>
          <cell r="D30">
            <v>1.1000000000000001</v>
          </cell>
          <cell r="E30">
            <v>1.0000000000000009E-2</v>
          </cell>
          <cell r="F30">
            <v>43251</v>
          </cell>
        </row>
        <row r="31">
          <cell r="B31" t="str">
            <v>ALI</v>
          </cell>
          <cell r="C31">
            <v>2.11</v>
          </cell>
          <cell r="D31">
            <v>2.11</v>
          </cell>
          <cell r="E31">
            <v>0</v>
          </cell>
          <cell r="F31">
            <v>43251</v>
          </cell>
        </row>
        <row r="32">
          <cell r="B32" t="str">
            <v>AIB</v>
          </cell>
          <cell r="C32">
            <v>0.46310000000000001</v>
          </cell>
          <cell r="D32">
            <v>0.46</v>
          </cell>
          <cell r="E32">
            <v>3.0999999999999917E-3</v>
          </cell>
          <cell r="F32">
            <v>43251</v>
          </cell>
        </row>
        <row r="33">
          <cell r="B33" t="str">
            <v>ABW</v>
          </cell>
          <cell r="C33">
            <v>0.5756</v>
          </cell>
          <cell r="D33">
            <v>0.57999999999999996</v>
          </cell>
          <cell r="E33">
            <v>-4.3999999999999595E-3</v>
          </cell>
          <cell r="F33">
            <v>43251</v>
          </cell>
        </row>
        <row r="34">
          <cell r="B34" t="str">
            <v>TOP</v>
          </cell>
          <cell r="C34">
            <v>0.80700000000000005</v>
          </cell>
          <cell r="D34">
            <v>0.76</v>
          </cell>
          <cell r="E34">
            <v>4.7000000000000042E-2</v>
          </cell>
          <cell r="F34">
            <v>43251</v>
          </cell>
        </row>
        <row r="35">
          <cell r="B35" t="str">
            <v>PGF</v>
          </cell>
          <cell r="C35">
            <v>1.3734</v>
          </cell>
          <cell r="D35">
            <v>1.27</v>
          </cell>
          <cell r="E35">
            <v>0.10339999999999994</v>
          </cell>
          <cell r="F35">
            <v>43251</v>
          </cell>
        </row>
        <row r="36">
          <cell r="B36" t="str">
            <v>FSI</v>
          </cell>
          <cell r="C36">
            <v>1.9610000000000001</v>
          </cell>
          <cell r="D36">
            <v>1.84</v>
          </cell>
          <cell r="E36">
            <v>0.121</v>
          </cell>
          <cell r="F36">
            <v>43251</v>
          </cell>
        </row>
        <row r="37">
          <cell r="B37" t="str">
            <v>ACQ</v>
          </cell>
          <cell r="C37">
            <v>1.3754</v>
          </cell>
          <cell r="D37">
            <v>1.27</v>
          </cell>
          <cell r="E37">
            <v>0.10539999999999994</v>
          </cell>
          <cell r="F37">
            <v>43251</v>
          </cell>
        </row>
        <row r="38">
          <cell r="B38" t="str">
            <v>CQG</v>
          </cell>
          <cell r="C38">
            <v>1.167</v>
          </cell>
          <cell r="D38" t="e">
            <v>#N/A</v>
          </cell>
          <cell r="E38" t="e">
            <v>#N/A</v>
          </cell>
          <cell r="F38">
            <v>43251</v>
          </cell>
        </row>
        <row r="39">
          <cell r="B39" t="str">
            <v>TGG</v>
          </cell>
          <cell r="C39">
            <v>1.54</v>
          </cell>
          <cell r="D39">
            <v>1.48</v>
          </cell>
          <cell r="E39">
            <v>6.0000000000000053E-2</v>
          </cell>
          <cell r="F39">
            <v>43251</v>
          </cell>
        </row>
        <row r="40">
          <cell r="B40" t="str">
            <v>D2O</v>
          </cell>
          <cell r="C40">
            <v>1.23</v>
          </cell>
          <cell r="D40">
            <v>1.23</v>
          </cell>
          <cell r="E40">
            <v>0</v>
          </cell>
          <cell r="F40">
            <v>43251</v>
          </cell>
        </row>
        <row r="41">
          <cell r="B41" t="str">
            <v>EAI</v>
          </cell>
          <cell r="C41">
            <v>1.2446999999999999</v>
          </cell>
          <cell r="D41">
            <v>1.1599999999999999</v>
          </cell>
          <cell r="E41">
            <v>8.4699999999999998E-2</v>
          </cell>
          <cell r="F41">
            <v>43251</v>
          </cell>
        </row>
        <row r="42">
          <cell r="B42" t="str">
            <v>MFF</v>
          </cell>
          <cell r="C42">
            <v>2.6760000000000002</v>
          </cell>
          <cell r="D42">
            <v>2.2400000000000002</v>
          </cell>
          <cell r="E42">
            <v>0.43599999999999994</v>
          </cell>
          <cell r="F42">
            <v>43251</v>
          </cell>
        </row>
        <row r="43">
          <cell r="B43" t="str">
            <v>CIN</v>
          </cell>
          <cell r="C43">
            <v>37.44</v>
          </cell>
          <cell r="D43">
            <v>37.44</v>
          </cell>
          <cell r="E43">
            <v>0</v>
          </cell>
          <cell r="F43">
            <v>43251</v>
          </cell>
        </row>
        <row r="44">
          <cell r="B44" t="str">
            <v>FPC</v>
          </cell>
          <cell r="C44">
            <v>1.1617</v>
          </cell>
          <cell r="D44">
            <v>1.1499999999999999</v>
          </cell>
          <cell r="E44">
            <v>1.1700000000000044E-2</v>
          </cell>
          <cell r="F44">
            <v>43251</v>
          </cell>
        </row>
        <row r="45">
          <cell r="B45" t="str">
            <v>NSC</v>
          </cell>
          <cell r="C45">
            <v>0.94</v>
          </cell>
          <cell r="D45">
            <v>0.91</v>
          </cell>
          <cell r="E45">
            <v>2.9999999999999916E-2</v>
          </cell>
          <cell r="F45">
            <v>43251</v>
          </cell>
        </row>
        <row r="46">
          <cell r="B46" t="str">
            <v>EGI</v>
          </cell>
          <cell r="C46">
            <v>1.1513</v>
          </cell>
          <cell r="D46">
            <v>1.1100000000000001</v>
          </cell>
          <cell r="E46">
            <v>4.1299999999999892E-2</v>
          </cell>
          <cell r="F46">
            <v>43251</v>
          </cell>
        </row>
        <row r="47">
          <cell r="B47" t="str">
            <v>CYA</v>
          </cell>
          <cell r="C47">
            <v>1.01</v>
          </cell>
          <cell r="D47">
            <v>1.05</v>
          </cell>
          <cell r="E47">
            <v>-4.0000000000000036E-2</v>
          </cell>
          <cell r="F47">
            <v>43251</v>
          </cell>
        </row>
        <row r="48">
          <cell r="B48" t="str">
            <v>CAM</v>
          </cell>
          <cell r="C48">
            <v>0.94</v>
          </cell>
          <cell r="D48">
            <v>0.91</v>
          </cell>
          <cell r="E48">
            <v>2.9999999999999916E-2</v>
          </cell>
          <cell r="F48">
            <v>43251</v>
          </cell>
        </row>
        <row r="49">
          <cell r="B49" t="str">
            <v>IBC</v>
          </cell>
          <cell r="C49">
            <v>0.51900000000000002</v>
          </cell>
          <cell r="D49">
            <v>0.53</v>
          </cell>
          <cell r="E49">
            <v>-1.100000000000001E-2</v>
          </cell>
          <cell r="F49">
            <v>43251</v>
          </cell>
        </row>
        <row r="50">
          <cell r="B50" t="str">
            <v>AMH</v>
          </cell>
          <cell r="C50">
            <v>0.99</v>
          </cell>
          <cell r="D50">
            <v>0.91</v>
          </cell>
          <cell r="E50">
            <v>7.999999999999996E-2</v>
          </cell>
          <cell r="F50">
            <v>43251</v>
          </cell>
        </row>
        <row r="51">
          <cell r="B51" t="str">
            <v>CVF</v>
          </cell>
          <cell r="C51">
            <v>1.3</v>
          </cell>
          <cell r="D51">
            <v>1.2</v>
          </cell>
          <cell r="E51">
            <v>0.10000000000000009</v>
          </cell>
          <cell r="F51">
            <v>43251</v>
          </cell>
        </row>
        <row r="52">
          <cell r="B52" t="str">
            <v>AEG</v>
          </cell>
          <cell r="C52">
            <v>1.1850000000000001</v>
          </cell>
          <cell r="D52">
            <v>1.1599999999999999</v>
          </cell>
          <cell r="E52">
            <v>2.5000000000000133E-2</v>
          </cell>
          <cell r="F52">
            <v>43251</v>
          </cell>
        </row>
        <row r="53">
          <cell r="B53" t="str">
            <v>URB</v>
          </cell>
          <cell r="C53">
            <v>1.05</v>
          </cell>
          <cell r="D53">
            <v>1.05</v>
          </cell>
          <cell r="E53">
            <v>0</v>
          </cell>
          <cell r="F53">
            <v>43251</v>
          </cell>
        </row>
        <row r="54">
          <cell r="B54" t="str">
            <v>CIE</v>
          </cell>
          <cell r="C54">
            <v>0.97399999999999998</v>
          </cell>
          <cell r="D54">
            <v>0.97</v>
          </cell>
          <cell r="E54">
            <v>4.0000000000000036E-3</v>
          </cell>
          <cell r="F54">
            <v>43251</v>
          </cell>
        </row>
        <row r="55">
          <cell r="B55" t="str">
            <v>FGX</v>
          </cell>
          <cell r="C55">
            <v>1.2541</v>
          </cell>
          <cell r="D55">
            <v>0.01</v>
          </cell>
          <cell r="E55">
            <v>1.2441</v>
          </cell>
          <cell r="F55">
            <v>43251</v>
          </cell>
        </row>
        <row r="56">
          <cell r="B56" t="str">
            <v>SEC</v>
          </cell>
          <cell r="C56">
            <v>2.0950000000000002</v>
          </cell>
          <cell r="D56">
            <v>2.1</v>
          </cell>
          <cell r="E56">
            <v>-4.9999999999998934E-3</v>
          </cell>
          <cell r="F56">
            <v>43251</v>
          </cell>
        </row>
        <row r="57">
          <cell r="B57" t="str">
            <v>APL</v>
          </cell>
          <cell r="C57">
            <v>1.254</v>
          </cell>
          <cell r="D57">
            <v>1.23</v>
          </cell>
          <cell r="E57">
            <v>2.4000000000000021E-2</v>
          </cell>
          <cell r="F57">
            <v>43251</v>
          </cell>
        </row>
        <row r="58">
          <cell r="B58" t="str">
            <v>AIQ</v>
          </cell>
          <cell r="C58">
            <v>9.1700000000000004E-2</v>
          </cell>
          <cell r="D58">
            <v>0.09</v>
          </cell>
          <cell r="E58">
            <v>1.7000000000000071E-3</v>
          </cell>
          <cell r="F58">
            <v>43251</v>
          </cell>
        </row>
        <row r="59">
          <cell r="B59" t="str">
            <v>FGG</v>
          </cell>
          <cell r="C59">
            <v>1.31</v>
          </cell>
          <cell r="D59">
            <v>1.24</v>
          </cell>
          <cell r="E59">
            <v>7.0000000000000062E-2</v>
          </cell>
          <cell r="F59">
            <v>43251</v>
          </cell>
        </row>
        <row r="60">
          <cell r="B60" t="str">
            <v>AUI</v>
          </cell>
          <cell r="C60">
            <v>8.93</v>
          </cell>
          <cell r="D60">
            <v>7.72</v>
          </cell>
          <cell r="E60">
            <v>1.21</v>
          </cell>
          <cell r="F60">
            <v>43251</v>
          </cell>
        </row>
        <row r="61">
          <cell r="B61" t="str">
            <v>DUI</v>
          </cell>
          <cell r="C61">
            <v>4.3099999999999996</v>
          </cell>
          <cell r="D61">
            <v>3.69</v>
          </cell>
          <cell r="E61">
            <v>0.61999999999999966</v>
          </cell>
          <cell r="F61">
            <v>43251</v>
          </cell>
        </row>
        <row r="62">
          <cell r="B62" t="str">
            <v>CLF</v>
          </cell>
          <cell r="C62">
            <v>1.35</v>
          </cell>
          <cell r="D62">
            <v>1.28</v>
          </cell>
          <cell r="E62">
            <v>7.0000000000000062E-2</v>
          </cell>
          <cell r="F62">
            <v>43251</v>
          </cell>
        </row>
        <row r="63">
          <cell r="B63" t="str">
            <v>AUP</v>
          </cell>
          <cell r="C63">
            <v>3.5333999999999999</v>
          </cell>
          <cell r="D63">
            <v>3.53</v>
          </cell>
          <cell r="E63">
            <v>3.4000000000000696E-3</v>
          </cell>
          <cell r="F63">
            <v>43251</v>
          </cell>
        </row>
        <row r="64">
          <cell r="B64" t="str">
            <v>PL8</v>
          </cell>
          <cell r="C64">
            <v>1.069</v>
          </cell>
          <cell r="D64">
            <v>1.08</v>
          </cell>
          <cell r="E64">
            <v>-1.1000000000000121E-2</v>
          </cell>
          <cell r="F64">
            <v>43251</v>
          </cell>
        </row>
        <row r="65">
          <cell r="B65" t="str">
            <v>AQF</v>
          </cell>
          <cell r="C65">
            <v>1.98</v>
          </cell>
          <cell r="D65">
            <v>1.81</v>
          </cell>
          <cell r="E65">
            <v>0.16999999999999993</v>
          </cell>
          <cell r="F65">
            <v>43251</v>
          </cell>
        </row>
        <row r="66">
          <cell r="B66" t="str">
            <v>GVF</v>
          </cell>
          <cell r="C66">
            <v>1.0812999999999999</v>
          </cell>
          <cell r="D66">
            <v>1.08</v>
          </cell>
          <cell r="E66">
            <v>1.2999999999998568E-3</v>
          </cell>
          <cell r="F66">
            <v>43251</v>
          </cell>
        </row>
        <row r="67">
          <cell r="B67" t="str">
            <v>LSF</v>
          </cell>
          <cell r="C67">
            <v>1.8935999999999999</v>
          </cell>
          <cell r="D67">
            <v>0</v>
          </cell>
          <cell r="E67">
            <v>1.8935999999999999</v>
          </cell>
          <cell r="F67">
            <v>43251</v>
          </cell>
        </row>
        <row r="68">
          <cell r="B68" t="str">
            <v>MLT</v>
          </cell>
          <cell r="C68">
            <v>4.57</v>
          </cell>
          <cell r="D68">
            <v>4.05</v>
          </cell>
          <cell r="E68">
            <v>0.52000000000000046</v>
          </cell>
          <cell r="F68">
            <v>43251</v>
          </cell>
        </row>
        <row r="69">
          <cell r="B69" t="str">
            <v>QVE</v>
          </cell>
          <cell r="C69">
            <v>1.2</v>
          </cell>
          <cell r="D69">
            <v>1.17</v>
          </cell>
          <cell r="E69">
            <v>3.0000000000000027E-2</v>
          </cell>
          <cell r="F69">
            <v>43251</v>
          </cell>
        </row>
        <row r="70">
          <cell r="B70" t="str">
            <v>AYK</v>
          </cell>
          <cell r="C70">
            <v>23.06</v>
          </cell>
          <cell r="D70">
            <v>23</v>
          </cell>
          <cell r="E70">
            <v>5.9999999999998721E-2</v>
          </cell>
          <cell r="F70">
            <v>43251</v>
          </cell>
        </row>
        <row r="71">
          <cell r="B71" t="str">
            <v>SNC</v>
          </cell>
          <cell r="C71">
            <v>0.96509999999999996</v>
          </cell>
          <cell r="D71">
            <v>0.94</v>
          </cell>
          <cell r="E71">
            <v>2.5100000000000011E-2</v>
          </cell>
          <cell r="F71">
            <v>43251</v>
          </cell>
        </row>
        <row r="72">
          <cell r="B72" t="str">
            <v>CD3</v>
          </cell>
          <cell r="C72">
            <v>1.52</v>
          </cell>
          <cell r="D72">
            <v>1.53</v>
          </cell>
          <cell r="E72">
            <v>-1.0000000000000009E-2</v>
          </cell>
          <cell r="F72">
            <v>43251</v>
          </cell>
        </row>
        <row r="73">
          <cell r="B73" t="str">
            <v>AYZ</v>
          </cell>
          <cell r="C73">
            <v>60.21</v>
          </cell>
          <cell r="D73">
            <v>59.82</v>
          </cell>
          <cell r="E73">
            <v>0.39000000000000057</v>
          </cell>
          <cell r="F73">
            <v>43251</v>
          </cell>
        </row>
        <row r="74">
          <cell r="B74" t="str">
            <v>GFL</v>
          </cell>
          <cell r="C74">
            <v>2.1680000000000001</v>
          </cell>
          <cell r="D74">
            <v>1.94</v>
          </cell>
          <cell r="E74">
            <v>0.2280000000000002</v>
          </cell>
          <cell r="F74">
            <v>43251</v>
          </cell>
        </row>
        <row r="75">
          <cell r="B75" t="str">
            <v>MXT</v>
          </cell>
          <cell r="C75">
            <v>2</v>
          </cell>
          <cell r="D75">
            <v>0.02</v>
          </cell>
          <cell r="E75">
            <v>1.98</v>
          </cell>
          <cell r="F75">
            <v>43251</v>
          </cell>
        </row>
        <row r="76">
          <cell r="B76" t="str">
            <v>AFI</v>
          </cell>
          <cell r="C76">
            <v>6.07</v>
          </cell>
          <cell r="D76">
            <v>5.19</v>
          </cell>
          <cell r="E76">
            <v>0.87999999999999989</v>
          </cell>
          <cell r="F76">
            <v>43251</v>
          </cell>
        </row>
        <row r="77">
          <cell r="B77" t="str">
            <v>CD2</v>
          </cell>
          <cell r="C77">
            <v>2.0499999999999998</v>
          </cell>
          <cell r="D77">
            <v>2.0299999999999998</v>
          </cell>
          <cell r="E77">
            <v>2.0000000000000018E-2</v>
          </cell>
          <cell r="F77">
            <v>43251</v>
          </cell>
        </row>
        <row r="78">
          <cell r="B78" t="str">
            <v>CD1</v>
          </cell>
          <cell r="C78">
            <v>1.79</v>
          </cell>
          <cell r="D78">
            <v>1.86</v>
          </cell>
          <cell r="E78">
            <v>-7.0000000000000062E-2</v>
          </cell>
          <cell r="F78">
            <v>43251</v>
          </cell>
        </row>
        <row r="79">
          <cell r="B79" t="str">
            <v>EMF</v>
          </cell>
          <cell r="C79">
            <v>2.0499999999999998</v>
          </cell>
          <cell r="D79">
            <v>2.0499999999999998</v>
          </cell>
          <cell r="E79">
            <v>0</v>
          </cell>
          <cell r="F79">
            <v>43251</v>
          </cell>
        </row>
        <row r="80">
          <cell r="B80" t="str">
            <v>EGD</v>
          </cell>
          <cell r="C80">
            <v>2.04</v>
          </cell>
          <cell r="D80">
            <v>2.04</v>
          </cell>
          <cell r="E80">
            <v>0</v>
          </cell>
          <cell r="F80">
            <v>43251</v>
          </cell>
        </row>
        <row r="81">
          <cell r="B81" t="str">
            <v>VG1</v>
          </cell>
          <cell r="C81">
            <v>2.12</v>
          </cell>
          <cell r="D81">
            <v>2.13</v>
          </cell>
          <cell r="E81">
            <v>-9.9999999999997868E-3</v>
          </cell>
          <cell r="F81">
            <v>43251</v>
          </cell>
        </row>
        <row r="82">
          <cell r="B82" t="str">
            <v>ARG</v>
          </cell>
          <cell r="C82">
            <v>7.92</v>
          </cell>
          <cell r="D82">
            <v>7.92</v>
          </cell>
          <cell r="E82">
            <v>0</v>
          </cell>
          <cell r="F82">
            <v>43251</v>
          </cell>
        </row>
        <row r="83">
          <cell r="B83" t="str">
            <v>PAF</v>
          </cell>
          <cell r="C83">
            <v>1.2803</v>
          </cell>
          <cell r="D83">
            <v>1.2</v>
          </cell>
          <cell r="E83">
            <v>8.0300000000000038E-2</v>
          </cell>
          <cell r="F83">
            <v>43251</v>
          </cell>
        </row>
        <row r="84">
          <cell r="B84" t="str">
            <v>BAF</v>
          </cell>
          <cell r="C84">
            <v>1.1299999999999999</v>
          </cell>
          <cell r="D84">
            <v>1.1100000000000001</v>
          </cell>
          <cell r="E84">
            <v>1.9999999999999796E-2</v>
          </cell>
          <cell r="F84">
            <v>43251</v>
          </cell>
        </row>
        <row r="85">
          <cell r="B85" t="str">
            <v>PIC</v>
          </cell>
          <cell r="C85">
            <v>1.1240000000000001</v>
          </cell>
          <cell r="D85">
            <v>1.1200000000000001</v>
          </cell>
          <cell r="E85">
            <v>4.0000000000000036E-3</v>
          </cell>
          <cell r="F85">
            <v>43251</v>
          </cell>
        </row>
        <row r="86">
          <cell r="B86" t="str">
            <v>NCC</v>
          </cell>
          <cell r="C86">
            <v>1.28</v>
          </cell>
          <cell r="D86">
            <v>1.23</v>
          </cell>
          <cell r="E86">
            <v>5.0000000000000044E-2</v>
          </cell>
          <cell r="F86">
            <v>43251</v>
          </cell>
        </row>
        <row r="87">
          <cell r="B87" t="str">
            <v>BKI</v>
          </cell>
          <cell r="C87">
            <v>1.59</v>
          </cell>
          <cell r="D87">
            <v>1.5</v>
          </cell>
          <cell r="E87">
            <v>9.000000000000008E-2</v>
          </cell>
          <cell r="F87">
            <v>43251</v>
          </cell>
        </row>
        <row r="88">
          <cell r="B88" t="str">
            <v>TEK</v>
          </cell>
          <cell r="C88">
            <v>0.247</v>
          </cell>
          <cell r="D88">
            <v>0.25</v>
          </cell>
          <cell r="E88">
            <v>-3.0000000000000027E-3</v>
          </cell>
          <cell r="F88">
            <v>43251</v>
          </cell>
        </row>
        <row r="89">
          <cell r="B89" t="str">
            <v>DJW</v>
          </cell>
          <cell r="C89">
            <v>3.23</v>
          </cell>
          <cell r="D89">
            <v>3.23</v>
          </cell>
          <cell r="E89">
            <v>0</v>
          </cell>
          <cell r="F89">
            <v>43251</v>
          </cell>
        </row>
        <row r="90">
          <cell r="B90" t="str">
            <v>LSX</v>
          </cell>
          <cell r="C90">
            <v>0.32</v>
          </cell>
          <cell r="D90">
            <v>0.32</v>
          </cell>
          <cell r="E90">
            <v>0</v>
          </cell>
          <cell r="F90">
            <v>43251</v>
          </cell>
        </row>
        <row r="91">
          <cell r="B91" t="str">
            <v>CDM</v>
          </cell>
          <cell r="C91">
            <v>1.2350000000000001</v>
          </cell>
          <cell r="D91">
            <v>1.29</v>
          </cell>
          <cell r="E91">
            <v>-5.4999999999999938E-2</v>
          </cell>
          <cell r="F91">
            <v>43251</v>
          </cell>
        </row>
        <row r="92">
          <cell r="B92" t="str">
            <v>CMI</v>
          </cell>
          <cell r="C92">
            <v>1.2224999999999999</v>
          </cell>
          <cell r="D92">
            <v>1.22</v>
          </cell>
          <cell r="E92">
            <v>2.4999999999999467E-3</v>
          </cell>
          <cell r="F92">
            <v>43251</v>
          </cell>
        </row>
        <row r="93">
          <cell r="B93" t="str">
            <v>PAI</v>
          </cell>
          <cell r="C93">
            <v>1.2398</v>
          </cell>
          <cell r="D93">
            <v>1.19</v>
          </cell>
          <cell r="E93">
            <v>4.9800000000000066E-2</v>
          </cell>
          <cell r="F93">
            <v>43251</v>
          </cell>
        </row>
        <row r="94">
          <cell r="B94" t="str">
            <v>PMC</v>
          </cell>
          <cell r="C94">
            <v>1.7811999999999999</v>
          </cell>
          <cell r="D94">
            <v>1.67</v>
          </cell>
          <cell r="E94">
            <v>0.11119999999999997</v>
          </cell>
          <cell r="F94">
            <v>43251</v>
          </cell>
        </row>
        <row r="95">
          <cell r="B95" t="str">
            <v>MIR</v>
          </cell>
          <cell r="C95">
            <v>2.52</v>
          </cell>
          <cell r="D95">
            <v>2.2400000000000002</v>
          </cell>
          <cell r="E95">
            <v>0.2799999999999998</v>
          </cell>
          <cell r="F95">
            <v>43251</v>
          </cell>
        </row>
        <row r="96">
          <cell r="B96" t="str">
            <v>FOR</v>
          </cell>
          <cell r="C96">
            <v>1.79</v>
          </cell>
          <cell r="D96">
            <v>1.88</v>
          </cell>
          <cell r="E96">
            <v>-8.9999999999999858E-2</v>
          </cell>
          <cell r="F96">
            <v>43251</v>
          </cell>
        </row>
        <row r="97">
          <cell r="B97" t="str">
            <v>FPP</v>
          </cell>
          <cell r="C97">
            <v>1.083</v>
          </cell>
          <cell r="D97">
            <v>1.08</v>
          </cell>
          <cell r="E97">
            <v>2.9999999999998916E-3</v>
          </cell>
          <cell r="F97">
            <v>43251</v>
          </cell>
        </row>
        <row r="98">
          <cell r="B98" t="str">
            <v>WAM</v>
          </cell>
          <cell r="C98">
            <v>1.9954000000000001</v>
          </cell>
          <cell r="D98">
            <v>1.96</v>
          </cell>
          <cell r="E98">
            <v>3.5400000000000098E-2</v>
          </cell>
          <cell r="F98">
            <v>43251</v>
          </cell>
        </row>
        <row r="99">
          <cell r="B99" t="str">
            <v>WAX</v>
          </cell>
          <cell r="C99">
            <v>1.2652000000000001</v>
          </cell>
          <cell r="D99">
            <v>1.23</v>
          </cell>
          <cell r="E99">
            <v>3.520000000000012E-2</v>
          </cell>
          <cell r="F99">
            <v>43251</v>
          </cell>
        </row>
        <row r="100">
          <cell r="B100" t="str">
            <v>8IH</v>
          </cell>
          <cell r="C100">
            <v>0.10999</v>
          </cell>
          <cell r="D100">
            <v>0.11</v>
          </cell>
          <cell r="E100">
            <v>-9.9999999999961231E-6</v>
          </cell>
          <cell r="F100">
            <v>43251</v>
          </cell>
        </row>
        <row r="101">
          <cell r="B101" t="str">
            <v>LRT</v>
          </cell>
          <cell r="C101">
            <v>7.9218999999999999</v>
          </cell>
          <cell r="D101">
            <v>0</v>
          </cell>
          <cell r="E101">
            <v>7.9218999999999999</v>
          </cell>
          <cell r="F101">
            <v>43251</v>
          </cell>
        </row>
        <row r="102">
          <cell r="B102" t="str">
            <v>HML</v>
          </cell>
          <cell r="C102">
            <v>1.7292000000000001</v>
          </cell>
          <cell r="D102">
            <v>1.44</v>
          </cell>
          <cell r="E102">
            <v>0.28920000000000012</v>
          </cell>
          <cell r="F102">
            <v>43251</v>
          </cell>
        </row>
        <row r="103">
          <cell r="B103" t="str">
            <v>WDE</v>
          </cell>
          <cell r="C103">
            <v>0.92979999999999996</v>
          </cell>
          <cell r="D103">
            <v>0.96</v>
          </cell>
          <cell r="E103">
            <v>-3.0200000000000005E-2</v>
          </cell>
          <cell r="F103">
            <v>43251</v>
          </cell>
        </row>
        <row r="104">
          <cell r="B104" t="str">
            <v>WGF</v>
          </cell>
          <cell r="C104">
            <v>1.1000000000000001</v>
          </cell>
          <cell r="D104">
            <v>1.07</v>
          </cell>
          <cell r="E104">
            <v>3.0000000000000027E-2</v>
          </cell>
          <cell r="F104">
            <v>43251</v>
          </cell>
        </row>
        <row r="105">
          <cell r="B105" t="str">
            <v>WHF</v>
          </cell>
          <cell r="C105">
            <v>4.84</v>
          </cell>
          <cell r="D105">
            <v>4.49</v>
          </cell>
          <cell r="E105">
            <v>0.34999999999999964</v>
          </cell>
          <cell r="F105">
            <v>43251</v>
          </cell>
        </row>
        <row r="106">
          <cell r="B106" t="str">
            <v>WIC</v>
          </cell>
          <cell r="C106">
            <v>1.304</v>
          </cell>
          <cell r="D106">
            <v>1.29</v>
          </cell>
          <cell r="E106">
            <v>1.4000000000000012E-2</v>
          </cell>
          <cell r="F106">
            <v>43251</v>
          </cell>
        </row>
        <row r="107">
          <cell r="B107" t="str">
            <v>WLE</v>
          </cell>
          <cell r="C107">
            <v>1.1883999999999999</v>
          </cell>
          <cell r="D107">
            <v>1.18</v>
          </cell>
          <cell r="E107">
            <v>8.3999999999999631E-3</v>
          </cell>
          <cell r="F107">
            <v>43251</v>
          </cell>
        </row>
        <row r="108">
          <cell r="B108" t="str">
            <v>WMI</v>
          </cell>
          <cell r="C108">
            <v>1.3297000000000001</v>
          </cell>
          <cell r="D108">
            <v>1.27</v>
          </cell>
          <cell r="E108">
            <v>5.9700000000000086E-2</v>
          </cell>
          <cell r="F108">
            <v>43251</v>
          </cell>
        </row>
        <row r="109">
          <cell r="B109" t="str">
            <v>WMK</v>
          </cell>
          <cell r="C109">
            <v>0.96</v>
          </cell>
          <cell r="D109">
            <v>0.96</v>
          </cell>
          <cell r="E109">
            <v>0</v>
          </cell>
          <cell r="F109">
            <v>43251</v>
          </cell>
        </row>
        <row r="110">
          <cell r="B110" t="str">
            <v>ZER</v>
          </cell>
          <cell r="C110">
            <v>0.53749999999999998</v>
          </cell>
          <cell r="D110">
            <v>0.54</v>
          </cell>
          <cell r="E110">
            <v>-2.5000000000000577E-3</v>
          </cell>
          <cell r="F110">
            <v>43251</v>
          </cell>
        </row>
        <row r="111">
          <cell r="B111" t="str">
            <v>GCI</v>
          </cell>
          <cell r="C111">
            <v>2.0004</v>
          </cell>
          <cell r="D111">
            <v>0</v>
          </cell>
          <cell r="E111">
            <v>2.0004</v>
          </cell>
          <cell r="F111">
            <v>43251</v>
          </cell>
        </row>
        <row r="112">
          <cell r="B112" t="str">
            <v>EAF</v>
          </cell>
          <cell r="C112">
            <v>1.27</v>
          </cell>
          <cell r="D112">
            <v>0</v>
          </cell>
          <cell r="E112">
            <v>1.27</v>
          </cell>
          <cell r="F112">
            <v>43251</v>
          </cell>
        </row>
      </sheetData>
      <sheetData sheetId="39"/>
      <sheetData sheetId="40">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BT138" t="str">
            <v>Pooled_Development_Funds_(PDFs)</v>
          </cell>
        </row>
        <row r="139">
          <cell r="BT139" t="str">
            <v>Property_Trusts</v>
          </cell>
        </row>
        <row r="140">
          <cell r="BT140" t="str">
            <v>mFund</v>
          </cell>
        </row>
        <row r="141">
          <cell r="BT141" t="str">
            <v>ETC_SP</v>
          </cell>
        </row>
        <row r="142">
          <cell r="BT142" t="str">
            <v>Exchange_Transacted_Funds_(ETFs Single Assets)</v>
          </cell>
        </row>
        <row r="143">
          <cell r="BT143" t="str">
            <v>Total</v>
          </cell>
        </row>
        <row r="144">
          <cell r="BT144" t="str">
            <v>Absolute_Return_Funds</v>
          </cell>
        </row>
        <row r="145">
          <cell r="BT145" t="str">
            <v>Exchange_Transacted_Funds_(ETFs)</v>
          </cell>
        </row>
        <row r="146">
          <cell r="BT146" t="str">
            <v>Infrastructure_Funds</v>
          </cell>
        </row>
        <row r="147">
          <cell r="BT147" t="str">
            <v>Investment_Companies_&amp;_Trusts</v>
          </cell>
        </row>
        <row r="148">
          <cell r="BT148" t="str">
            <v>Pooled_Development_Funds_(PDFs)</v>
          </cell>
        </row>
        <row r="149">
          <cell r="BT149" t="str">
            <v>Property_Trusts</v>
          </cell>
        </row>
        <row r="150">
          <cell r="BT150" t="str">
            <v>mFund</v>
          </cell>
        </row>
        <row r="151">
          <cell r="BT151" t="str">
            <v>ETC_SP</v>
          </cell>
        </row>
        <row r="152">
          <cell r="BT152" t="str">
            <v>Exchange_Transacted_Funds_(ETFs Single Assets)</v>
          </cell>
        </row>
        <row r="153">
          <cell r="BT153" t="str">
            <v>Total</v>
          </cell>
        </row>
        <row r="154">
          <cell r="BT154" t="str">
            <v>Absolute_Return_Funds</v>
          </cell>
        </row>
        <row r="155">
          <cell r="BT155" t="str">
            <v>Exchange_Transacted_Funds_(ETFs)</v>
          </cell>
        </row>
        <row r="156">
          <cell r="BT156" t="str">
            <v>Infrastructure_Funds</v>
          </cell>
        </row>
        <row r="157">
          <cell r="BT157" t="str">
            <v>Investment_Companies_&amp;_Trusts</v>
          </cell>
        </row>
        <row r="158">
          <cell r="BT158" t="str">
            <v>Pooled_Development_Funds_(PDFs)</v>
          </cell>
        </row>
        <row r="159">
          <cell r="BT159" t="str">
            <v>Property_Trusts</v>
          </cell>
        </row>
        <row r="160">
          <cell r="BT160" t="str">
            <v>mFund</v>
          </cell>
        </row>
        <row r="161">
          <cell r="BT161" t="str">
            <v>ETC_SP</v>
          </cell>
        </row>
        <row r="162">
          <cell r="BT162" t="str">
            <v>Exchange_Transacted_Funds_(ETFs Single Assets)</v>
          </cell>
        </row>
        <row r="163">
          <cell r="BT163" t="str">
            <v>Total</v>
          </cell>
        </row>
        <row r="164">
          <cell r="BT164" t="str">
            <v>Absolute_Return_Funds</v>
          </cell>
        </row>
        <row r="165">
          <cell r="BT165" t="str">
            <v>Exchange_Transacted_Funds_(ETFs)</v>
          </cell>
        </row>
        <row r="166">
          <cell r="BT166" t="str">
            <v>Infrastructure_Funds</v>
          </cell>
        </row>
        <row r="167">
          <cell r="BT167" t="str">
            <v>Investment_Companies_&amp;_Trusts</v>
          </cell>
        </row>
        <row r="168">
          <cell r="BT168" t="str">
            <v>Pooled_Development_Funds_(PDFs)</v>
          </cell>
        </row>
        <row r="169">
          <cell r="BT169" t="str">
            <v>Property_Trusts</v>
          </cell>
        </row>
        <row r="170">
          <cell r="BT170" t="str">
            <v>mFund</v>
          </cell>
        </row>
        <row r="171">
          <cell r="BT171" t="str">
            <v>ETC_SP</v>
          </cell>
        </row>
        <row r="172">
          <cell r="BT172" t="str">
            <v>Exchange_Transacted_Funds_(ETFs Single Assets)</v>
          </cell>
        </row>
        <row r="173">
          <cell r="BT173" t="str">
            <v>Total</v>
          </cell>
        </row>
        <row r="174">
          <cell r="BT174" t="str">
            <v>Absolute_Return_Funds</v>
          </cell>
        </row>
        <row r="175">
          <cell r="BT175" t="str">
            <v>Exchange_Transacted_Funds_(ETFs)</v>
          </cell>
        </row>
        <row r="176">
          <cell r="BT176" t="str">
            <v>Infrastructure_Funds</v>
          </cell>
        </row>
        <row r="177">
          <cell r="BT177" t="str">
            <v>Investment_Companies_&amp;_Trusts</v>
          </cell>
        </row>
        <row r="178">
          <cell r="BT178" t="str">
            <v>Pooled_Development_Funds_(PDFs)</v>
          </cell>
        </row>
        <row r="179">
          <cell r="BT179" t="str">
            <v>Property_Trusts</v>
          </cell>
        </row>
        <row r="180">
          <cell r="BT180" t="str">
            <v>mFund</v>
          </cell>
        </row>
        <row r="181">
          <cell r="BT181" t="str">
            <v>ETC_SP</v>
          </cell>
        </row>
        <row r="182">
          <cell r="BT182" t="str">
            <v>Exchange_Transacted_Funds_(ETFs Single Assets)</v>
          </cell>
        </row>
        <row r="183">
          <cell r="BT183" t="str">
            <v>Total</v>
          </cell>
        </row>
        <row r="184">
          <cell r="BT184" t="str">
            <v>Absolute_Return_Funds</v>
          </cell>
        </row>
        <row r="185">
          <cell r="BT185" t="str">
            <v>Exchange_Transacted_Funds_(ETFs)</v>
          </cell>
        </row>
        <row r="186">
          <cell r="BT186" t="str">
            <v>Infrastructure_Funds</v>
          </cell>
        </row>
        <row r="187">
          <cell r="BT187" t="str">
            <v>Investment_Companies_&amp;_Trusts</v>
          </cell>
        </row>
        <row r="188">
          <cell r="BT188" t="str">
            <v>Pooled_Development_Funds_(PDFs)</v>
          </cell>
        </row>
        <row r="189">
          <cell r="BT189" t="str">
            <v>Property_Trusts</v>
          </cell>
        </row>
        <row r="190">
          <cell r="BT190" t="str">
            <v>mFund</v>
          </cell>
        </row>
        <row r="191">
          <cell r="BT191" t="str">
            <v>ETC_SP</v>
          </cell>
        </row>
        <row r="192">
          <cell r="BT192" t="str">
            <v>Exchange_Transacted_Funds_(ETFs Single Assets)</v>
          </cell>
        </row>
        <row r="193">
          <cell r="BT193" t="str">
            <v>Total</v>
          </cell>
        </row>
        <row r="194">
          <cell r="BT194" t="str">
            <v>Absolute_Return_Funds</v>
          </cell>
        </row>
        <row r="195">
          <cell r="BT195" t="str">
            <v>Exchange_Transacted_Funds_(ETFs)</v>
          </cell>
        </row>
        <row r="196">
          <cell r="BT196" t="str">
            <v>Infrastructure_Funds</v>
          </cell>
        </row>
        <row r="197">
          <cell r="BT197" t="str">
            <v>Investment_Companies_&amp;_Trusts</v>
          </cell>
        </row>
        <row r="198">
          <cell r="BT198" t="str">
            <v>Pooled_Development_Funds_(PDFs)</v>
          </cell>
        </row>
        <row r="199">
          <cell r="BT199" t="str">
            <v>Property_Trusts</v>
          </cell>
        </row>
        <row r="200">
          <cell r="BT200" t="str">
            <v>mFund</v>
          </cell>
        </row>
        <row r="201">
          <cell r="BT201" t="str">
            <v>ETC_SP</v>
          </cell>
        </row>
        <row r="202">
          <cell r="BT202" t="str">
            <v>Exchange_Transacted_Funds_(ETFs Single Assets)</v>
          </cell>
        </row>
        <row r="203">
          <cell r="BT203" t="str">
            <v>Total</v>
          </cell>
        </row>
        <row r="204">
          <cell r="BT204" t="str">
            <v>Absolute_Return_Funds</v>
          </cell>
        </row>
        <row r="205">
          <cell r="BT205" t="str">
            <v>Exchange_Transacted_Funds_(ETFs)</v>
          </cell>
        </row>
        <row r="206">
          <cell r="BT206" t="str">
            <v>Infrastructure_Funds</v>
          </cell>
        </row>
        <row r="207">
          <cell r="BT207" t="str">
            <v>Investment_Companies_&amp;_Trusts</v>
          </cell>
        </row>
        <row r="208">
          <cell r="BT208" t="str">
            <v>Pooled_Development_Funds_(PDFs)</v>
          </cell>
        </row>
        <row r="209">
          <cell r="BT209" t="str">
            <v>Property_Trusts</v>
          </cell>
        </row>
        <row r="210">
          <cell r="BT210" t="str">
            <v>mFund</v>
          </cell>
        </row>
        <row r="211">
          <cell r="BT211" t="str">
            <v>ETC_SP</v>
          </cell>
        </row>
        <row r="212">
          <cell r="BT212" t="str">
            <v>Exchange_Transacted_Funds_(ETFs Single Assets)</v>
          </cell>
        </row>
        <row r="213">
          <cell r="BT213" t="str">
            <v>Total</v>
          </cell>
        </row>
        <row r="214">
          <cell r="BT214" t="str">
            <v>Absolute_Return_Funds</v>
          </cell>
        </row>
        <row r="215">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sheetData>
      <sheetData sheetId="41"/>
    </sheetDataSet>
  </externalBook>
</externalLink>
</file>

<file path=xl/theme/theme1.xml><?xml version="1.0" encoding="utf-8"?>
<a:theme xmlns:a="http://schemas.openxmlformats.org/drawingml/2006/main" name="ASX Primary Set">
  <a:themeElements>
    <a:clrScheme name="ASX Colours">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79880BE-1F12-4FE5-8B42-17F2DF191989}" vid="{093278CA-A33A-4D83-930E-99BA6ACC302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Z228"/>
  <sheetViews>
    <sheetView showGridLines="0" tabSelected="1" view="pageBreakPreview" zoomScale="70" zoomScaleNormal="85" zoomScaleSheetLayoutView="70" workbookViewId="0">
      <pane xSplit="5" ySplit="10" topLeftCell="F131" activePane="bottomRight" state="frozen"/>
      <selection activeCell="T46" sqref="T46"/>
      <selection pane="topRight" activeCell="T46" sqref="T46"/>
      <selection pane="bottomLeft" activeCell="T46" sqref="T46"/>
      <selection pane="bottomRight" activeCell="T46" sqref="T46"/>
    </sheetView>
  </sheetViews>
  <sheetFormatPr defaultColWidth="9" defaultRowHeight="15"/>
  <cols>
    <col min="1" max="1" width="9" style="7" customWidth="1"/>
    <col min="2" max="2" width="5.5" style="7" customWidth="1"/>
    <col min="3" max="3" width="11" style="7" customWidth="1"/>
    <col min="4" max="4" width="30.75" style="68" customWidth="1"/>
    <col min="5" max="5" width="0.5" style="68" customWidth="1"/>
    <col min="6" max="6" width="6" style="64" customWidth="1"/>
    <col min="7" max="8" width="6.625" style="64" customWidth="1"/>
    <col min="9" max="9" width="10.375" style="64" customWidth="1"/>
    <col min="10" max="10" width="9" style="64" customWidth="1"/>
    <col min="11" max="11" width="9.25" style="64" bestFit="1" customWidth="1"/>
    <col min="12" max="14" width="8.5" style="64" customWidth="1"/>
    <col min="15" max="16" width="9.875" style="64" bestFit="1" customWidth="1"/>
    <col min="17" max="17" width="0.5" style="7" customWidth="1"/>
    <col min="18" max="20" width="9.875" style="64" customWidth="1"/>
    <col min="21" max="21" width="0.5" style="7" customWidth="1"/>
    <col min="22" max="22" width="13.5" style="65" customWidth="1"/>
    <col min="23" max="23" width="9.875" style="65" customWidth="1"/>
    <col min="24" max="24" width="9.625" style="65" customWidth="1"/>
    <col min="25" max="25" width="9.875" style="65" customWidth="1"/>
    <col min="26" max="26" width="10.125" style="7" customWidth="1"/>
    <col min="27" max="27" width="8.125" style="7" customWidth="1"/>
    <col min="28" max="28" width="8.5" style="7" customWidth="1"/>
    <col min="29" max="29" width="7.875" style="7" customWidth="1"/>
    <col min="30" max="31" width="9.875" style="7" customWidth="1"/>
    <col min="32" max="16384" width="9" style="7"/>
  </cols>
  <sheetData>
    <row r="1" spans="1:26" s="5" customFormat="1">
      <c r="A1" s="1"/>
      <c r="B1" s="1"/>
      <c r="C1" s="1"/>
      <c r="D1" s="2"/>
      <c r="E1" s="1"/>
      <c r="F1" s="3"/>
      <c r="G1" s="3"/>
      <c r="H1" s="3"/>
      <c r="I1" s="3"/>
      <c r="J1" s="3"/>
      <c r="K1" s="3"/>
      <c r="L1" s="3"/>
      <c r="M1" s="3"/>
      <c r="N1" s="3"/>
      <c r="O1" s="3"/>
      <c r="P1" s="3"/>
      <c r="Q1" s="1"/>
      <c r="R1" s="3"/>
      <c r="S1" s="3"/>
      <c r="T1" s="3"/>
      <c r="U1" s="1"/>
      <c r="V1" s="4"/>
      <c r="W1" s="4"/>
      <c r="X1" s="4"/>
      <c r="Y1" s="4"/>
      <c r="Z1" s="1"/>
    </row>
    <row r="2" spans="1:26" s="5" customFormat="1">
      <c r="A2" s="1"/>
      <c r="B2" s="1"/>
      <c r="C2" s="1"/>
      <c r="D2" s="2"/>
      <c r="E2" s="1"/>
      <c r="F2" s="3"/>
      <c r="G2" s="3"/>
      <c r="H2" s="3"/>
      <c r="I2" s="3"/>
      <c r="J2" s="3"/>
      <c r="K2" s="3"/>
      <c r="L2" s="3"/>
      <c r="M2" s="3"/>
      <c r="N2" s="3"/>
      <c r="O2" s="3"/>
      <c r="P2" s="3"/>
      <c r="Q2" s="1"/>
      <c r="R2" s="3"/>
      <c r="S2" s="3"/>
      <c r="T2" s="3"/>
      <c r="U2" s="1"/>
      <c r="V2" s="4"/>
      <c r="W2" s="4"/>
      <c r="X2" s="4"/>
      <c r="Y2" s="4"/>
      <c r="Z2" s="1"/>
    </row>
    <row r="3" spans="1:26" s="5" customFormat="1" ht="14.45" customHeight="1">
      <c r="A3" s="1"/>
      <c r="B3" s="1"/>
      <c r="C3" s="1"/>
      <c r="D3" s="6"/>
      <c r="E3" s="6"/>
      <c r="F3" s="6"/>
      <c r="G3" s="6"/>
      <c r="H3" s="6"/>
      <c r="I3" s="6"/>
      <c r="J3" s="6"/>
      <c r="K3" s="6"/>
      <c r="L3" s="6"/>
      <c r="M3" s="6"/>
      <c r="N3" s="6"/>
      <c r="O3" s="6"/>
      <c r="P3" s="6"/>
      <c r="Q3" s="6"/>
      <c r="R3" s="6"/>
      <c r="S3" s="6"/>
      <c r="T3" s="3"/>
      <c r="U3" s="1"/>
      <c r="V3" s="4"/>
      <c r="W3" s="4"/>
      <c r="X3" s="4"/>
      <c r="Y3" s="4"/>
      <c r="Z3" s="1"/>
    </row>
    <row r="4" spans="1:26" s="5" customFormat="1" ht="14.45" customHeight="1">
      <c r="A4" s="1"/>
      <c r="B4" s="1"/>
      <c r="C4" s="1"/>
      <c r="D4" s="6"/>
      <c r="E4" s="6"/>
      <c r="F4" s="6"/>
      <c r="G4" s="6"/>
      <c r="H4" s="6"/>
      <c r="I4" s="6"/>
      <c r="J4" s="6"/>
      <c r="K4" s="6"/>
      <c r="L4" s="6"/>
      <c r="M4" s="6"/>
      <c r="N4" s="6"/>
      <c r="O4" s="6"/>
      <c r="P4" s="6"/>
      <c r="Q4" s="6"/>
      <c r="R4" s="6"/>
      <c r="S4" s="6"/>
      <c r="T4" s="3"/>
      <c r="U4" s="1"/>
      <c r="V4" s="4"/>
      <c r="W4" s="4"/>
      <c r="X4" s="4"/>
      <c r="Y4" s="4"/>
      <c r="Z4" s="1"/>
    </row>
    <row r="5" spans="1:26" s="5" customFormat="1" ht="14.45" customHeight="1">
      <c r="A5" s="1"/>
      <c r="B5" s="1"/>
      <c r="C5" s="1"/>
      <c r="D5" s="6"/>
      <c r="E5" s="6"/>
      <c r="F5" s="6"/>
      <c r="G5" s="6"/>
      <c r="H5" s="6"/>
      <c r="I5" s="6"/>
      <c r="J5" s="6"/>
      <c r="K5" s="6"/>
      <c r="L5" s="6"/>
      <c r="M5" s="6"/>
      <c r="N5" s="6"/>
      <c r="O5" s="6"/>
      <c r="P5" s="6"/>
      <c r="Q5" s="6"/>
      <c r="R5" s="6"/>
      <c r="S5" s="6"/>
      <c r="T5" s="3"/>
      <c r="U5" s="1"/>
      <c r="V5" s="4"/>
      <c r="W5" s="4"/>
      <c r="X5" s="4"/>
      <c r="Y5" s="4"/>
      <c r="Z5" s="1"/>
    </row>
    <row r="6" spans="1:26" ht="14.45" customHeight="1">
      <c r="A6" s="1"/>
      <c r="B6" s="1"/>
      <c r="C6" s="1"/>
      <c r="D6" s="6"/>
      <c r="E6" s="6"/>
      <c r="F6" s="6"/>
      <c r="G6" s="6"/>
      <c r="H6" s="6"/>
      <c r="I6" s="6"/>
      <c r="J6" s="6"/>
      <c r="K6" s="6"/>
      <c r="L6" s="6"/>
      <c r="M6" s="6"/>
      <c r="N6" s="6"/>
      <c r="O6" s="6"/>
      <c r="P6" s="6"/>
      <c r="Q6" s="6"/>
      <c r="R6" s="6"/>
      <c r="S6" s="6"/>
      <c r="T6" s="3"/>
      <c r="U6" s="1"/>
      <c r="V6" s="4"/>
      <c r="W6" s="4"/>
      <c r="X6" s="4"/>
      <c r="Y6" s="4"/>
      <c r="Z6" s="1"/>
    </row>
    <row r="7" spans="1:26">
      <c r="A7" s="1"/>
      <c r="B7" s="1"/>
      <c r="C7" s="1"/>
      <c r="D7" s="2"/>
      <c r="E7" s="1"/>
      <c r="F7" s="3"/>
      <c r="G7" s="3"/>
      <c r="H7" s="3"/>
      <c r="I7" s="3"/>
      <c r="J7" s="3"/>
      <c r="K7" s="3"/>
      <c r="L7" s="3"/>
      <c r="M7" s="3"/>
      <c r="N7" s="3"/>
      <c r="O7" s="3"/>
      <c r="P7" s="3"/>
      <c r="Q7" s="1"/>
      <c r="R7" s="3"/>
      <c r="S7" s="3"/>
      <c r="T7" s="3"/>
      <c r="U7" s="1"/>
      <c r="V7" s="4"/>
      <c r="W7" s="4"/>
      <c r="X7" s="4"/>
      <c r="Y7" s="4"/>
      <c r="Z7" s="1"/>
    </row>
    <row r="8" spans="1:26" s="9" customFormat="1" ht="18" customHeight="1">
      <c r="A8" s="8" t="str">
        <f>"Exchange Traded Product Summary - "&amp;TEXT([1]Setup!$K$2,"mmmm yyyy")</f>
        <v>Exchange Traded Product Summary - June 2018</v>
      </c>
      <c r="E8" s="7"/>
      <c r="U8" s="7"/>
      <c r="Z8" s="10" t="str">
        <f>"Transaction days: "&amp;[1]Setup!$K$8&amp;" / Period ending: "&amp;TEXT([1]Setup!$K$4,"dddd, dd mmmm yyyy")</f>
        <v>Transaction days: 23 / Period ending: Friday, 29 June 2018</v>
      </c>
    </row>
    <row r="9" spans="1:26" s="12" customFormat="1" ht="15.75">
      <c r="A9" s="11" t="s">
        <v>0</v>
      </c>
      <c r="E9" s="7"/>
      <c r="F9" s="11" t="s">
        <v>1</v>
      </c>
      <c r="Q9" s="9"/>
      <c r="R9" s="11" t="s">
        <v>2</v>
      </c>
      <c r="U9" s="7"/>
      <c r="V9" s="11" t="s">
        <v>3</v>
      </c>
    </row>
    <row r="10" spans="1:26" ht="33" customHeight="1">
      <c r="A10" s="13" t="s">
        <v>4</v>
      </c>
      <c r="B10" s="13" t="s">
        <v>5</v>
      </c>
      <c r="C10" s="14" t="s">
        <v>6</v>
      </c>
      <c r="D10" s="15"/>
      <c r="E10" s="7"/>
      <c r="F10" s="16" t="s">
        <v>7</v>
      </c>
      <c r="G10" s="17" t="s">
        <v>8</v>
      </c>
      <c r="H10" s="17" t="s">
        <v>9</v>
      </c>
      <c r="I10" s="17" t="s">
        <v>10</v>
      </c>
      <c r="J10" s="17" t="s">
        <v>11</v>
      </c>
      <c r="K10" s="17" t="s">
        <v>12</v>
      </c>
      <c r="L10" s="17" t="s">
        <v>13</v>
      </c>
      <c r="M10" s="17" t="s">
        <v>14</v>
      </c>
      <c r="N10" s="17" t="s">
        <v>15</v>
      </c>
      <c r="O10" s="17" t="s">
        <v>16</v>
      </c>
      <c r="P10" s="17" t="s">
        <v>17</v>
      </c>
      <c r="Q10" s="9"/>
      <c r="R10" s="17" t="s">
        <v>18</v>
      </c>
      <c r="S10" s="17" t="s">
        <v>19</v>
      </c>
      <c r="T10" s="17" t="s">
        <v>20</v>
      </c>
      <c r="V10" s="18" t="s">
        <v>21</v>
      </c>
      <c r="W10" s="18" t="s">
        <v>22</v>
      </c>
      <c r="X10" s="18" t="s">
        <v>23</v>
      </c>
      <c r="Y10" s="18" t="s">
        <v>24</v>
      </c>
      <c r="Z10" s="18" t="s">
        <v>25</v>
      </c>
    </row>
    <row r="11" spans="1:26" s="12" customFormat="1" ht="15" customHeight="1">
      <c r="A11" s="19" t="s">
        <v>26</v>
      </c>
      <c r="B11" s="11"/>
      <c r="C11" s="11"/>
      <c r="D11" s="11"/>
      <c r="E11" s="7"/>
      <c r="F11" s="20"/>
      <c r="G11" s="20"/>
      <c r="H11" s="20"/>
      <c r="I11" s="20"/>
      <c r="J11" s="20"/>
      <c r="K11" s="20"/>
      <c r="L11" s="20"/>
      <c r="M11" s="20"/>
      <c r="N11" s="20"/>
      <c r="O11" s="20"/>
      <c r="P11" s="20"/>
      <c r="Q11" s="9"/>
      <c r="R11" s="20"/>
      <c r="S11" s="20"/>
      <c r="T11" s="20"/>
      <c r="U11" s="7"/>
      <c r="V11" s="20"/>
      <c r="W11" s="20"/>
      <c r="X11" s="20"/>
      <c r="Y11" s="20"/>
      <c r="Z11" s="20"/>
    </row>
    <row r="12" spans="1:26">
      <c r="A12" s="21" t="s">
        <v>27</v>
      </c>
      <c r="B12" s="22" t="s">
        <v>28</v>
      </c>
      <c r="C12" s="23" t="str">
        <f>VLOOKUP(A12,'[1]ETF List'!$A$2:$B$244,2,FALSE)</f>
        <v>Betashares Australia 200 ETF</v>
      </c>
      <c r="D12" s="24"/>
      <c r="E12" s="7"/>
      <c r="F12" s="25">
        <f>_xlfn.IFNA(VLOOKUP(A12,'[1]ETF List'!$A$2:$I$180,6,FALSE),"n/a")</f>
        <v>7.0000000000000007E-2</v>
      </c>
      <c r="G12" s="26">
        <f>_xlfn.IFNA(VLOOKUP(A12,'[1]ETF List'!$A$2:$J$180,8,FALSE)/1000000,"n/a")</f>
        <v>49.640640700000006</v>
      </c>
      <c r="H12" s="25">
        <f>_xlfn.IFNA(VLOOKUP(A12,'[1]ETF List'!$A$2:$N$180,14,FALSE)/1000000,"n/a")</f>
        <v>1.747673200000003</v>
      </c>
      <c r="I12" s="26">
        <f>_xlfn.IFNA(VLOOKUP(A12,'[1]ETF List'!$A:$R,18,FALSE)/1000000,"n/a")</f>
        <v>0</v>
      </c>
      <c r="J12" s="27">
        <f>_xlfn.IFNA(VLOOKUP(A12,[1]IRESS!$A$10:$F$875,5,FALSE),"n/a")</f>
        <v>11508828.51</v>
      </c>
      <c r="K12" s="28">
        <f>_xlfn.IFNA(VLOOKUP(A12,[1]IRESS!$A$11:$G$684,7,FALSE),"n/a")</f>
        <v>112889</v>
      </c>
      <c r="L12" s="27">
        <f>_xlfn.IFNA(VLOOKUP(A12,[1]IRESS!$A$10:$F$875,4,FALSE),"n/a")</f>
        <v>386</v>
      </c>
      <c r="M12" s="29">
        <f>IFERROR(+J12/(G12*1000000),"n/a")</f>
        <v>0.23184286801519866</v>
      </c>
      <c r="N12" s="30">
        <f>_xlfn.IFNA(VLOOKUP(A12,[1]Spreads!$A$1:$G$279,2,FALSE),"n/a")</f>
        <v>3.9993734859344101E-4</v>
      </c>
      <c r="O12" s="28">
        <f>IFERROR(VLOOKUP(A12,[1]Spreads!$A$1:$G$279,5,FALSE)/1000,"n/a")</f>
        <v>1671.9470903631</v>
      </c>
      <c r="P12" s="31">
        <f>IFERROR(VLOOKUP(A12,[1]Spreads!$A$1:$G$279,6,FALSE)/1000,"n/a")</f>
        <v>1457.5053902838299</v>
      </c>
      <c r="Q12" s="9"/>
      <c r="R12" s="32">
        <f>_xlfn.IFNA(VLOOKUP($A12,[1]IRESS!$A$11:$AE$696,6,FALSE)/100,"n/a")</f>
        <v>103.28</v>
      </c>
      <c r="S12" s="33">
        <f>_xlfn.IFNA(VLOOKUP($A12,[1]IRESS!$A$11:$AE$696,21,FALSE)/100,"n/a")</f>
        <v>103.64</v>
      </c>
      <c r="T12" s="32">
        <f>_xlfn.IFNA(VLOOKUP($A12,[1]IRESS!$A$11:$AE$696,22,FALSE)/100,"n/a")</f>
        <v>98.97</v>
      </c>
      <c r="V12" s="34">
        <f>IFERROR((VLOOKUP($A12,[1]IRESS!$A$11:$AE$696,20,FALSE)/100)/R12,"n/a")</f>
        <v>1.9561580170410534E-3</v>
      </c>
      <c r="W12" s="35">
        <f>IFERROR(VLOOKUP($A12,[1]Morningstar!$A$2:$F$477,3,FALSE),"n/a")</f>
        <v>3.56E-2</v>
      </c>
      <c r="X12" s="34" t="str">
        <f>IFERROR(VLOOKUP($A12,[1]Morningstar!$A$2:$F$477,4,FALSE),"n/a")</f>
        <v>n/a</v>
      </c>
      <c r="Y12" s="35" t="str">
        <f>IFERROR(VLOOKUP($A12,[1]Morningstar!$A$2:$F$477,5,FALSE),"n/a")</f>
        <v>n/a</v>
      </c>
      <c r="Z12" s="34" t="str">
        <f>IFERROR(VLOOKUP($A12,[1]Morningstar!$A$2:$F$477,6,FALSE),"n/a")</f>
        <v>n/a</v>
      </c>
    </row>
    <row r="13" spans="1:26">
      <c r="A13" s="21" t="s">
        <v>29</v>
      </c>
      <c r="B13" s="22" t="s">
        <v>28</v>
      </c>
      <c r="C13" s="23" t="str">
        <f>VLOOKUP(A13,'[1]ETF List'!$A$3:$B$244,2,FALSE)</f>
        <v>iShares Core S&amp;P/ASX 200 ETF</v>
      </c>
      <c r="D13" s="24"/>
      <c r="E13" s="7"/>
      <c r="F13" s="25">
        <f>_xlfn.IFNA(VLOOKUP(A13,'[1]ETF List'!$A$2:$I$180,6,FALSE),"n/a")</f>
        <v>0.15</v>
      </c>
      <c r="G13" s="26">
        <f>_xlfn.IFNA(VLOOKUP(A13,'[1]ETF List'!$A$2:$J$180,8,FALSE)/1000000,"n/a")</f>
        <v>1164.0640468800002</v>
      </c>
      <c r="H13" s="25">
        <f>_xlfn.IFNA(VLOOKUP(A13,'[1]ETF List'!$A$2:$N$180,14,FALSE)/1000000,"n/a")</f>
        <v>51.630681120000126</v>
      </c>
      <c r="I13" s="26">
        <f>_xlfn.IFNA(VLOOKUP(A13,'[1]ETF List'!$A:$R,18,FALSE)/1000000,"n/a")</f>
        <v>15.414</v>
      </c>
      <c r="J13" s="27">
        <f>_xlfn.IFNA(VLOOKUP(A13,[1]IRESS!$A$10:$F$875,5,FALSE),"n/a")</f>
        <v>63104375.450000018</v>
      </c>
      <c r="K13" s="28">
        <f>_xlfn.IFNA(VLOOKUP(A13,[1]IRESS!$A$11:$G$684,7,FALSE),"n/a")</f>
        <v>2492035</v>
      </c>
      <c r="L13" s="27">
        <f>_xlfn.IFNA(VLOOKUP(A13,[1]IRESS!$A$10:$F$875,4,FALSE),"n/a")</f>
        <v>2015</v>
      </c>
      <c r="M13" s="29">
        <f>IFERROR(+J13/(G13*1000000),"n/a")</f>
        <v>5.4210398147023317E-2</v>
      </c>
      <c r="N13" s="30">
        <f>_xlfn.IFNA(VLOOKUP(A13,[1]Spreads!$A$1:$G$279,2,FALSE),"n/a")</f>
        <v>6.2636707017147894E-4</v>
      </c>
      <c r="O13" s="28">
        <f>IFERROR(VLOOKUP(A13,[1]Spreads!$A$1:$G$279,5,FALSE)/1000,"n/a")</f>
        <v>1915.85641107175</v>
      </c>
      <c r="P13" s="31">
        <f>IFERROR(VLOOKUP(A13,[1]Spreads!$A$1:$G$279,6,FALSE)/1000,"n/a")</f>
        <v>1820.1328847827899</v>
      </c>
      <c r="Q13" s="9"/>
      <c r="R13" s="32">
        <f>_xlfn.IFNA(VLOOKUP($A13,[1]IRESS!$A$11:$AE$696,6,FALSE)/100,"n/a")</f>
        <v>25.69</v>
      </c>
      <c r="S13" s="33">
        <f>_xlfn.IFNA(VLOOKUP($A13,[1]IRESS!$A$11:$AE$696,21,FALSE)/100,"n/a")</f>
        <v>25.91</v>
      </c>
      <c r="T13" s="32">
        <f>_xlfn.IFNA(VLOOKUP($A13,[1]IRESS!$A$11:$AE$696,22,FALSE)/100,"n/a")</f>
        <v>23.18</v>
      </c>
      <c r="V13" s="34">
        <f>IFERROR((VLOOKUP($A13,[1]IRESS!$A$11:$AE$696,20,FALSE)/100)/R13,"n/a")</f>
        <v>3.6714168937329691E-2</v>
      </c>
      <c r="W13" s="35">
        <f>IFERROR(VLOOKUP($A13,[1]Morningstar!$A$2:$F$477,3,FALSE),"n/a")</f>
        <v>3.1800000000000002E-2</v>
      </c>
      <c r="X13" s="34">
        <f>IFERROR(VLOOKUP($A13,[1]Morningstar!$A$2:$F$477,4,FALSE),"n/a")</f>
        <v>0.1265</v>
      </c>
      <c r="Y13" s="35">
        <f>IFERROR(VLOOKUP($A13,[1]Morningstar!$A$2:$F$477,5,FALSE),"n/a")</f>
        <v>8.14E-2</v>
      </c>
      <c r="Z13" s="34">
        <f>IFERROR(VLOOKUP($A13,[1]Morningstar!$A$2:$F$477,6,FALSE),"n/a")</f>
        <v>9.2799999999999994E-2</v>
      </c>
    </row>
    <row r="14" spans="1:26">
      <c r="A14" s="21" t="s">
        <v>30</v>
      </c>
      <c r="B14" s="22" t="s">
        <v>28</v>
      </c>
      <c r="C14" s="23" t="str">
        <f>VLOOKUP(A14,'[1]ETF List'!$A$3:$B$185,2,FALSE)</f>
        <v>iShares S&amp;P/ASX 20 ETF</v>
      </c>
      <c r="D14" s="24"/>
      <c r="E14" s="7"/>
      <c r="F14" s="25">
        <f>_xlfn.IFNA(VLOOKUP(A14,'[1]ETF List'!$A$2:$I$180,6,FALSE),"n/a")</f>
        <v>0.24</v>
      </c>
      <c r="G14" s="26">
        <f>_xlfn.IFNA(VLOOKUP(A14,'[1]ETF List'!$A$2:$J$180,8,FALSE)/1000000,"n/a")</f>
        <v>319.35316741999998</v>
      </c>
      <c r="H14" s="25">
        <f>_xlfn.IFNA(VLOOKUP(A14,'[1]ETF List'!$A$2:$N$180,14,FALSE)/1000000,"n/a")</f>
        <v>11.35457298999995</v>
      </c>
      <c r="I14" s="26">
        <f>_xlfn.IFNA(VLOOKUP(A14,'[1]ETF List'!$A:$R,18,FALSE)/1000000,"n/a")</f>
        <v>-1.8434999999999997</v>
      </c>
      <c r="J14" s="27">
        <f>_xlfn.IFNA(VLOOKUP(A14,[1]IRESS!$A$10:$F$875,5,FALSE),"n/a")</f>
        <v>8273414.5499999989</v>
      </c>
      <c r="K14" s="28">
        <f>_xlfn.IFNA(VLOOKUP(A14,[1]IRESS!$A$11:$G$684,7,FALSE),"n/a")</f>
        <v>345856</v>
      </c>
      <c r="L14" s="27">
        <f>_xlfn.IFNA(VLOOKUP(A14,[1]IRESS!$A$10:$F$875,4,FALSE),"n/a")</f>
        <v>330</v>
      </c>
      <c r="M14" s="29">
        <f t="shared" ref="M14:M77" si="0">IFERROR(+J14/(G14*1000000),"n/a")</f>
        <v>2.5906787200012799E-2</v>
      </c>
      <c r="N14" s="30">
        <f>_xlfn.IFNA(VLOOKUP(A14,[1]Spreads!$A$1:$G$279,2,FALSE),"n/a")</f>
        <v>8.4051083011374298E-4</v>
      </c>
      <c r="O14" s="28">
        <f>IFERROR(VLOOKUP(A14,[1]Spreads!$A$1:$G$279,5,FALSE)/1000,"n/a")</f>
        <v>1884.42633130429</v>
      </c>
      <c r="P14" s="31">
        <f>IFERROR(VLOOKUP(A14,[1]Spreads!$A$1:$G$279,6,FALSE)/1000,"n/a")</f>
        <v>1816.07008100192</v>
      </c>
      <c r="Q14" s="9"/>
      <c r="R14" s="32">
        <f>_xlfn.IFNA(VLOOKUP($A14,[1]IRESS!$A$11:$AE$696,6,FALSE)/100,"n/a")</f>
        <v>24.58</v>
      </c>
      <c r="S14" s="33">
        <f>_xlfn.IFNA(VLOOKUP($A14,[1]IRESS!$A$11:$AE$696,21,FALSE)/100,"n/a")</f>
        <v>24.68</v>
      </c>
      <c r="T14" s="32">
        <f>_xlfn.IFNA(VLOOKUP($A14,[1]IRESS!$A$11:$AE$696,22,FALSE)/100,"n/a")</f>
        <v>22.44</v>
      </c>
      <c r="V14" s="34">
        <f>IFERROR((VLOOKUP($A14,[1]IRESS!$A$11:$AE$696,20,FALSE)/100)/R14,"n/a")</f>
        <v>4.4996053702196913E-2</v>
      </c>
      <c r="W14" s="35">
        <f>IFERROR(VLOOKUP($A14,[1]Morningstar!$A$2:$F$477,3,FALSE),"n/a")</f>
        <v>3.8399999999999997E-2</v>
      </c>
      <c r="X14" s="34">
        <f>IFERROR(VLOOKUP($A14,[1]Morningstar!$A$2:$F$477,4,FALSE),"n/a")</f>
        <v>0.1104</v>
      </c>
      <c r="Y14" s="35">
        <f>IFERROR(VLOOKUP($A14,[1]Morningstar!$A$2:$F$477,5,FALSE),"n/a")</f>
        <v>4.9700000000000001E-2</v>
      </c>
      <c r="Z14" s="34">
        <f>IFERROR(VLOOKUP($A14,[1]Morningstar!$A$2:$F$477,6,FALSE),"n/a")</f>
        <v>7.1300000000000002E-2</v>
      </c>
    </row>
    <row r="15" spans="1:26">
      <c r="A15" s="21" t="s">
        <v>31</v>
      </c>
      <c r="B15" s="22" t="s">
        <v>28</v>
      </c>
      <c r="C15" s="23" t="str">
        <f>VLOOKUP(A15,'[1]ETF List'!$A$3:$B$185,2,FALSE)</f>
        <v>VanEck Vectors Australian Equal Weight ETF</v>
      </c>
      <c r="D15" s="24"/>
      <c r="E15" s="7"/>
      <c r="F15" s="25">
        <f>_xlfn.IFNA(VLOOKUP(A15,'[1]ETF List'!$A$2:$I$180,6,FALSE),"n/a")</f>
        <v>0.35</v>
      </c>
      <c r="G15" s="26">
        <f>_xlfn.IFNA(VLOOKUP(A15,'[1]ETF List'!$A$2:$J$180,8,FALSE)/1000000,"n/a")</f>
        <v>524.03293799999994</v>
      </c>
      <c r="H15" s="25">
        <f>_xlfn.IFNA(VLOOKUP(A15,'[1]ETF List'!$A$2:$N$180,14,FALSE)/1000000,"n/a")</f>
        <v>28.704165899999975</v>
      </c>
      <c r="I15" s="26">
        <f>_xlfn.IFNA(VLOOKUP(A15,'[1]ETF List'!$A:$R,18,FALSE)/1000000,"n/a")</f>
        <v>15.73</v>
      </c>
      <c r="J15" s="27">
        <f>_xlfn.IFNA(VLOOKUP(A15,[1]IRESS!$A$10:$F$875,5,FALSE),"n/a")</f>
        <v>34130838.820000008</v>
      </c>
      <c r="K15" s="28">
        <f>_xlfn.IFNA(VLOOKUP(A15,[1]IRESS!$A$11:$G$684,7,FALSE),"n/a")</f>
        <v>1205684</v>
      </c>
      <c r="L15" s="27">
        <f>_xlfn.IFNA(VLOOKUP(A15,[1]IRESS!$A$10:$F$875,4,FALSE),"n/a")</f>
        <v>1039</v>
      </c>
      <c r="M15" s="29">
        <f t="shared" si="0"/>
        <v>6.5131094526733754E-2</v>
      </c>
      <c r="N15" s="30">
        <f>_xlfn.IFNA(VLOOKUP(A15,[1]Spreads!$A$1:$G$279,2,FALSE),"n/a")</f>
        <v>7.2743598475669797E-4</v>
      </c>
      <c r="O15" s="28">
        <f>IFERROR(VLOOKUP(A15,[1]Spreads!$A$1:$G$279,5,FALSE)/1000,"n/a")</f>
        <v>2834.0852940029899</v>
      </c>
      <c r="P15" s="31">
        <f>IFERROR(VLOOKUP(A15,[1]Spreads!$A$1:$G$279,6,FALSE)/1000,"n/a")</f>
        <v>2937.62210631072</v>
      </c>
      <c r="Q15" s="9"/>
      <c r="R15" s="32">
        <f>_xlfn.IFNA(VLOOKUP($A15,[1]IRESS!$A$11:$AE$696,6,FALSE)/100,"n/a")</f>
        <v>28.6</v>
      </c>
      <c r="S15" s="33">
        <f>_xlfn.IFNA(VLOOKUP($A15,[1]IRESS!$A$11:$AE$696,21,FALSE)/100,"n/a")</f>
        <v>29.92</v>
      </c>
      <c r="T15" s="32">
        <f>_xlfn.IFNA(VLOOKUP($A15,[1]IRESS!$A$11:$AE$696,22,FALSE)/100,"n/a")</f>
        <v>25.39</v>
      </c>
      <c r="V15" s="34">
        <f>IFERROR((VLOOKUP($A15,[1]IRESS!$A$11:$AE$696,20,FALSE)/100)/R15,"n/a")</f>
        <v>2.6923076923076921E-2</v>
      </c>
      <c r="W15" s="35">
        <f>IFERROR(VLOOKUP($A15,[1]Morningstar!$A$2:$F$477,3,FALSE),"n/a")</f>
        <v>2.6700000000000002E-2</v>
      </c>
      <c r="X15" s="34">
        <f>IFERROR(VLOOKUP($A15,[1]Morningstar!$A$2:$F$477,4,FALSE),"n/a")</f>
        <v>0.1275</v>
      </c>
      <c r="Y15" s="35">
        <f>IFERROR(VLOOKUP($A15,[1]Morningstar!$A$2:$F$477,5,FALSE),"n/a")</f>
        <v>0.12820000000000001</v>
      </c>
      <c r="Z15" s="34" t="str">
        <f>IFERROR(VLOOKUP($A15,[1]Morningstar!$A$2:$F$477,6,FALSE),"n/a")</f>
        <v>n/a</v>
      </c>
    </row>
    <row r="16" spans="1:26">
      <c r="A16" s="21" t="s">
        <v>32</v>
      </c>
      <c r="B16" s="22" t="s">
        <v>28</v>
      </c>
      <c r="C16" s="23" t="str">
        <f>VLOOKUP(A16,'[1]ETF List'!$A$3:$B$185,2,FALSE)</f>
        <v>BetaShares FTSE RAFI Australia 200 ETF</v>
      </c>
      <c r="D16" s="24"/>
      <c r="E16" s="7"/>
      <c r="F16" s="25">
        <f>_xlfn.IFNA(VLOOKUP(A16,'[1]ETF List'!$A$2:$I$180,6,FALSE),"n/a")</f>
        <v>0.4</v>
      </c>
      <c r="G16" s="26">
        <f>_xlfn.IFNA(VLOOKUP(A16,'[1]ETF List'!$A$2:$J$180,8,FALSE)/1000000,"n/a")</f>
        <v>289.16936966999998</v>
      </c>
      <c r="H16" s="25">
        <f>_xlfn.IFNA(VLOOKUP(A16,'[1]ETF List'!$A$2:$N$180,14,FALSE)/1000000,"n/a")</f>
        <v>23.862149729999931</v>
      </c>
      <c r="I16" s="26">
        <f>_xlfn.IFNA(VLOOKUP(A16,'[1]ETF List'!$A:$R,18,FALSE)/1000000,"n/a")</f>
        <v>12.626999999999947</v>
      </c>
      <c r="J16" s="27">
        <f>_xlfn.IFNA(VLOOKUP(A16,[1]IRESS!$A$10:$F$875,5,FALSE),"n/a")</f>
        <v>35577407.009999998</v>
      </c>
      <c r="K16" s="28">
        <f>_xlfn.IFNA(VLOOKUP(A16,[1]IRESS!$A$11:$G$684,7,FALSE),"n/a")</f>
        <v>2583978</v>
      </c>
      <c r="L16" s="27">
        <f>_xlfn.IFNA(VLOOKUP(A16,[1]IRESS!$A$10:$F$875,4,FALSE),"n/a")</f>
        <v>515</v>
      </c>
      <c r="M16" s="29">
        <f t="shared" si="0"/>
        <v>0.1230331104936907</v>
      </c>
      <c r="N16" s="30">
        <f>_xlfn.IFNA(VLOOKUP(A16,[1]Spreads!$A$1:$G$279,2,FALSE),"n/a")</f>
        <v>1.08849640221928E-3</v>
      </c>
      <c r="O16" s="28">
        <f>IFERROR(VLOOKUP(A16,[1]Spreads!$A$1:$G$279,5,FALSE)/1000,"n/a")</f>
        <v>1921.74012915956</v>
      </c>
      <c r="P16" s="31">
        <f>IFERROR(VLOOKUP(A16,[1]Spreads!$A$1:$G$279,6,FALSE)/1000,"n/a")</f>
        <v>1925.83766963331</v>
      </c>
      <c r="Q16" s="9"/>
      <c r="R16" s="32">
        <f>_xlfn.IFNA(VLOOKUP($A16,[1]IRESS!$A$11:$AE$696,6,FALSE)/100,"n/a")</f>
        <v>14.03</v>
      </c>
      <c r="S16" s="33">
        <f>_xlfn.IFNA(VLOOKUP($A16,[1]IRESS!$A$11:$AE$696,21,FALSE)/100,"n/a")</f>
        <v>14.36</v>
      </c>
      <c r="T16" s="32">
        <f>_xlfn.IFNA(VLOOKUP($A16,[1]IRESS!$A$11:$AE$696,22,FALSE)/100,"n/a")</f>
        <v>12.65</v>
      </c>
      <c r="V16" s="34">
        <f>IFERROR((VLOOKUP($A16,[1]IRESS!$A$11:$AE$696,20,FALSE)/100)/R16,"n/a")</f>
        <v>5.9036778332145406E-2</v>
      </c>
      <c r="W16" s="35">
        <f>IFERROR(VLOOKUP($A16,[1]Morningstar!$A$2:$F$477,3,FALSE),"n/a")</f>
        <v>3.9100000000000003E-2</v>
      </c>
      <c r="X16" s="34">
        <f>IFERROR(VLOOKUP($A16,[1]Morningstar!$A$2:$F$477,4,FALSE),"n/a")</f>
        <v>0.12590000000000001</v>
      </c>
      <c r="Y16" s="35">
        <f>IFERROR(VLOOKUP($A16,[1]Morningstar!$A$2:$F$477,5,FALSE),"n/a")</f>
        <v>9.3899999999999997E-2</v>
      </c>
      <c r="Z16" s="34" t="str">
        <f>IFERROR(VLOOKUP($A16,[1]Morningstar!$A$2:$F$477,6,FALSE),"n/a")</f>
        <v>n/a</v>
      </c>
    </row>
    <row r="17" spans="1:26">
      <c r="A17" s="21" t="s">
        <v>33</v>
      </c>
      <c r="B17" s="22" t="s">
        <v>28</v>
      </c>
      <c r="C17" s="23" t="str">
        <f>VLOOKUP(A17,'[1]ETF List'!$A$3:$B$185,2,FALSE)</f>
        <v xml:space="preserve">SPDR S&amp;P/ASX 200 </v>
      </c>
      <c r="D17" s="24"/>
      <c r="E17" s="7"/>
      <c r="F17" s="25">
        <f>_xlfn.IFNA(VLOOKUP(A17,'[1]ETF List'!$A$2:$I$180,6,FALSE),"n/a")</f>
        <v>0.19</v>
      </c>
      <c r="G17" s="26">
        <f>_xlfn.IFNA(VLOOKUP(A17,'[1]ETF List'!$A$2:$J$180,8,FALSE)/1000000,"n/a")</f>
        <v>3794.1164851800004</v>
      </c>
      <c r="H17" s="25">
        <f>_xlfn.IFNA(VLOOKUP(A17,'[1]ETF List'!$A$2:$N$180,14,FALSE)/1000000,"n/a")</f>
        <v>94.214998080000399</v>
      </c>
      <c r="I17" s="26">
        <f>_xlfn.IFNA(VLOOKUP(A17,'[1]ETF List'!$A:$R,18,FALSE)/1000000,"n/a")</f>
        <v>0</v>
      </c>
      <c r="J17" s="27">
        <f>_xlfn.IFNA(VLOOKUP(A17,[1]IRESS!$A$10:$F$875,5,FALSE),"n/a")</f>
        <v>259182207.48439997</v>
      </c>
      <c r="K17" s="28">
        <f>_xlfn.IFNA(VLOOKUP(A17,[1]IRESS!$A$11:$G$684,7,FALSE),"n/a")</f>
        <v>4528514</v>
      </c>
      <c r="L17" s="27">
        <f>_xlfn.IFNA(VLOOKUP(A17,[1]IRESS!$A$10:$F$875,4,FALSE),"n/a")</f>
        <v>5074</v>
      </c>
      <c r="M17" s="29">
        <f t="shared" si="0"/>
        <v>6.8311610488707458E-2</v>
      </c>
      <c r="N17" s="30">
        <f>_xlfn.IFNA(VLOOKUP(A17,[1]Spreads!$A$1:$G$279,2,FALSE),"n/a")</f>
        <v>4.3316270024058601E-4</v>
      </c>
      <c r="O17" s="28">
        <f>IFERROR(VLOOKUP(A17,[1]Spreads!$A$1:$G$279,5,FALSE)/1000,"n/a")</f>
        <v>1672.0584375937399</v>
      </c>
      <c r="P17" s="31">
        <f>IFERROR(VLOOKUP(A17,[1]Spreads!$A$1:$G$279,6,FALSE)/1000,"n/a")</f>
        <v>1481.6456585590599</v>
      </c>
      <c r="Q17" s="9"/>
      <c r="R17" s="32">
        <f>_xlfn.IFNA(VLOOKUP($A17,[1]IRESS!$A$11:$AE$696,6,FALSE)/100,"n/a")</f>
        <v>57.99</v>
      </c>
      <c r="S17" s="33">
        <f>_xlfn.IFNA(VLOOKUP($A17,[1]IRESS!$A$11:$AE$696,21,FALSE)/100,"n/a")</f>
        <v>58.8</v>
      </c>
      <c r="T17" s="32">
        <f>_xlfn.IFNA(VLOOKUP($A17,[1]IRESS!$A$11:$AE$696,22,FALSE)/100,"n/a")</f>
        <v>52.77</v>
      </c>
      <c r="V17" s="34">
        <f>IFERROR((VLOOKUP($A17,[1]IRESS!$A$11:$AE$696,20,FALSE)/100)/R17,"n/a")</f>
        <v>3.90119330919124E-2</v>
      </c>
      <c r="W17" s="35">
        <f>IFERROR(VLOOKUP($A17,[1]Morningstar!$A$2:$F$477,3,FALSE),"n/a")</f>
        <v>3.27E-2</v>
      </c>
      <c r="X17" s="34">
        <f>IFERROR(VLOOKUP($A17,[1]Morningstar!$A$2:$F$477,4,FALSE),"n/a")</f>
        <v>0.12839999999999999</v>
      </c>
      <c r="Y17" s="35">
        <f>IFERROR(VLOOKUP($A17,[1]Morningstar!$A$2:$F$477,5,FALSE),"n/a")</f>
        <v>8.8200000000000001E-2</v>
      </c>
      <c r="Z17" s="34">
        <f>IFERROR(VLOOKUP($A17,[1]Morningstar!$A$2:$F$477,6,FALSE),"n/a")</f>
        <v>9.6799999999999997E-2</v>
      </c>
    </row>
    <row r="18" spans="1:26">
      <c r="A18" s="21" t="s">
        <v>34</v>
      </c>
      <c r="B18" s="22" t="s">
        <v>28</v>
      </c>
      <c r="C18" s="23" t="str">
        <f>VLOOKUP(A18,'[1]ETF List'!$A$3:$B$185,2,FALSE)</f>
        <v xml:space="preserve">SPDR S&amp;P/ASX 50 </v>
      </c>
      <c r="D18" s="24"/>
      <c r="E18" s="7"/>
      <c r="F18" s="25">
        <f>_xlfn.IFNA(VLOOKUP(A18,'[1]ETF List'!$A$2:$I$180,6,FALSE),"n/a")</f>
        <v>0.28599999999999998</v>
      </c>
      <c r="G18" s="26">
        <f>_xlfn.IFNA(VLOOKUP(A18,'[1]ETF List'!$A$2:$J$180,8,FALSE)/1000000,"n/a")</f>
        <v>514.98545841999999</v>
      </c>
      <c r="H18" s="25">
        <f>_xlfn.IFNA(VLOOKUP(A18,'[1]ETF List'!$A$2:$N$180,14,FALSE)/1000000,"n/a")</f>
        <v>13.514060110000015</v>
      </c>
      <c r="I18" s="26">
        <f>_xlfn.IFNA(VLOOKUP(A18,'[1]ETF List'!$A:$R,18,FALSE)/1000000,"n/a")</f>
        <v>0</v>
      </c>
      <c r="J18" s="27">
        <f>_xlfn.IFNA(VLOOKUP(A18,[1]IRESS!$A$10:$F$875,5,FALSE),"n/a")</f>
        <v>14409390.189999999</v>
      </c>
      <c r="K18" s="28">
        <f>_xlfn.IFNA(VLOOKUP(A18,[1]IRESS!$A$11:$G$684,7,FALSE),"n/a")</f>
        <v>256717</v>
      </c>
      <c r="L18" s="27">
        <f>_xlfn.IFNA(VLOOKUP(A18,[1]IRESS!$A$10:$F$875,4,FALSE),"n/a")</f>
        <v>555</v>
      </c>
      <c r="M18" s="29">
        <f t="shared" si="0"/>
        <v>2.798018847795955E-2</v>
      </c>
      <c r="N18" s="30">
        <f>_xlfn.IFNA(VLOOKUP(A18,[1]Spreads!$A$1:$G$279,2,FALSE),"n/a")</f>
        <v>5.9965048810781097E-4</v>
      </c>
      <c r="O18" s="28">
        <f>IFERROR(VLOOKUP(A18,[1]Spreads!$A$1:$G$279,5,FALSE)/1000,"n/a")</f>
        <v>2547.2633106046196</v>
      </c>
      <c r="P18" s="31">
        <f>IFERROR(VLOOKUP(A18,[1]Spreads!$A$1:$G$279,6,FALSE)/1000,"n/a")</f>
        <v>3248.5931255002301</v>
      </c>
      <c r="Q18" s="9"/>
      <c r="R18" s="32">
        <f>_xlfn.IFNA(VLOOKUP($A18,[1]IRESS!$A$11:$AE$696,6,FALSE)/100,"n/a")</f>
        <v>56.74</v>
      </c>
      <c r="S18" s="33">
        <f>_xlfn.IFNA(VLOOKUP($A18,[1]IRESS!$A$11:$AE$696,21,FALSE)/100,"n/a")</f>
        <v>57.59</v>
      </c>
      <c r="T18" s="32">
        <f>_xlfn.IFNA(VLOOKUP($A18,[1]IRESS!$A$11:$AE$696,22,FALSE)/100,"n/a")</f>
        <v>52.19</v>
      </c>
      <c r="V18" s="34">
        <f>IFERROR((VLOOKUP($A18,[1]IRESS!$A$11:$AE$696,20,FALSE)/100)/R18,"n/a")</f>
        <v>4.4505710257314063E-2</v>
      </c>
      <c r="W18" s="35">
        <f>IFERROR(VLOOKUP($A18,[1]Morningstar!$A$2:$F$477,3,FALSE),"n/a")</f>
        <v>3.6499999999999998E-2</v>
      </c>
      <c r="X18" s="34">
        <f>IFERROR(VLOOKUP($A18,[1]Morningstar!$A$2:$F$477,4,FALSE),"n/a")</f>
        <v>0.1111</v>
      </c>
      <c r="Y18" s="35">
        <f>IFERROR(VLOOKUP($A18,[1]Morningstar!$A$2:$F$477,5,FALSE),"n/a")</f>
        <v>7.0800000000000002E-2</v>
      </c>
      <c r="Z18" s="34">
        <f>IFERROR(VLOOKUP($A18,[1]Morningstar!$A$2:$F$477,6,FALSE),"n/a")</f>
        <v>8.5599999999999996E-2</v>
      </c>
    </row>
    <row r="19" spans="1:26">
      <c r="A19" s="21" t="s">
        <v>35</v>
      </c>
      <c r="B19" s="22" t="s">
        <v>28</v>
      </c>
      <c r="C19" s="23" t="str">
        <f>VLOOKUP(A19,'[1]ETF List'!$A$3:$B$185,2,FALSE)</f>
        <v>UBS IQ MSCI Australian Ethical ETF</v>
      </c>
      <c r="D19" s="24"/>
      <c r="E19" s="7"/>
      <c r="F19" s="25">
        <f>_xlfn.IFNA(VLOOKUP(A19,'[1]ETF List'!$A$2:$I$180,6,FALSE),"n/a")</f>
        <v>0.17</v>
      </c>
      <c r="G19" s="26">
        <f>_xlfn.IFNA(VLOOKUP(A19,'[1]ETF List'!$A$2:$J$180,8,FALSE)/1000000,"n/a")</f>
        <v>204.6037785</v>
      </c>
      <c r="H19" s="25">
        <f>_xlfn.IFNA(VLOOKUP(A19,'[1]ETF List'!$A$2:$N$180,14,FALSE)/1000000,"n/a")</f>
        <v>5.5588252499999999</v>
      </c>
      <c r="I19" s="26">
        <f>_xlfn.IFNA(VLOOKUP(A19,'[1]ETF List'!$A:$R,18,FALSE)/1000000,"n/a")</f>
        <v>0</v>
      </c>
      <c r="J19" s="27">
        <f>_xlfn.IFNA(VLOOKUP(A19,[1]IRESS!$A$10:$F$875,5,FALSE),"n/a")</f>
        <v>224009.75000000006</v>
      </c>
      <c r="K19" s="28">
        <f>_xlfn.IFNA(VLOOKUP(A19,[1]IRESS!$A$11:$G$684,7,FALSE),"n/a")</f>
        <v>10897</v>
      </c>
      <c r="L19" s="27">
        <f>_xlfn.IFNA(VLOOKUP(A19,[1]IRESS!$A$10:$F$875,4,FALSE),"n/a")</f>
        <v>19</v>
      </c>
      <c r="M19" s="29">
        <f t="shared" si="0"/>
        <v>1.0948465939498769E-3</v>
      </c>
      <c r="N19" s="30">
        <f>_xlfn.IFNA(VLOOKUP(A19,[1]Spreads!$A$1:$G$279,2,FALSE),"n/a")</f>
        <v>1.2572301309418802E-3</v>
      </c>
      <c r="O19" s="28">
        <f>IFERROR(VLOOKUP(A19,[1]Spreads!$A$1:$G$279,5,FALSE)/1000,"n/a")</f>
        <v>848.00797029390503</v>
      </c>
      <c r="P19" s="31">
        <f>IFERROR(VLOOKUP(A19,[1]Spreads!$A$1:$G$279,6,FALSE)/1000,"n/a")</f>
        <v>444.99696284004597</v>
      </c>
      <c r="Q19" s="9"/>
      <c r="R19" s="32">
        <f>_xlfn.IFNA(VLOOKUP($A19,[1]IRESS!$A$11:$AE$696,6,FALSE)/100,"n/a")</f>
        <v>20.98</v>
      </c>
      <c r="S19" s="33">
        <f>_xlfn.IFNA(VLOOKUP($A19,[1]IRESS!$A$11:$AE$696,21,FALSE)/100,"n/a")</f>
        <v>21.21</v>
      </c>
      <c r="T19" s="32">
        <f>_xlfn.IFNA(VLOOKUP($A19,[1]IRESS!$A$11:$AE$696,22,FALSE)/100,"n/a")</f>
        <v>19.14</v>
      </c>
      <c r="V19" s="34">
        <f>IFERROR((VLOOKUP($A19,[1]IRESS!$A$11:$AE$696,20,FALSE)/100)/R19,"n/a")</f>
        <v>3.9505243088655863E-2</v>
      </c>
      <c r="W19" s="35">
        <f>IFERROR(VLOOKUP($A19,[1]Morningstar!$A$2:$F$477,3,FALSE),"n/a")</f>
        <v>3.7699999999999997E-2</v>
      </c>
      <c r="X19" s="34">
        <f>IFERROR(VLOOKUP($A19,[1]Morningstar!$A$2:$F$477,4,FALSE),"n/a")</f>
        <v>0.1321</v>
      </c>
      <c r="Y19" s="35">
        <f>IFERROR(VLOOKUP($A19,[1]Morningstar!$A$2:$F$477,5,FALSE),"n/a")</f>
        <v>8.4199999999999997E-2</v>
      </c>
      <c r="Z19" s="34" t="str">
        <f>IFERROR(VLOOKUP($A19,[1]Morningstar!$A$2:$F$477,6,FALSE),"n/a")</f>
        <v>n/a</v>
      </c>
    </row>
    <row r="20" spans="1:26">
      <c r="A20" s="21" t="s">
        <v>36</v>
      </c>
      <c r="B20" s="22" t="s">
        <v>28</v>
      </c>
      <c r="C20" s="23" t="str">
        <f>VLOOKUP(A20,'[1]ETF List'!$A$3:$B$185,2,FALSE)</f>
        <v>Vanguard Australian Shares Index ETF</v>
      </c>
      <c r="D20" s="24"/>
      <c r="E20" s="7"/>
      <c r="F20" s="25">
        <f>_xlfn.IFNA(VLOOKUP(A20,'[1]ETF List'!$A$2:$I$180,6,FALSE),"n/a")</f>
        <v>0.14000000000000001</v>
      </c>
      <c r="G20" s="26">
        <f>_xlfn.IFNA(VLOOKUP(A20,'[1]ETF List'!$A$2:$J$180,8,FALSE)/1000000,"n/a")</f>
        <v>2834.0114228800003</v>
      </c>
      <c r="H20" s="25">
        <f>_xlfn.IFNA(VLOOKUP(A20,'[1]ETF List'!$A$2:$N$180,14,FALSE)/1000000,"n/a")</f>
        <v>122.75948858000039</v>
      </c>
      <c r="I20" s="26">
        <f>_xlfn.IFNA(VLOOKUP(A20,'[1]ETF List'!$A:$R,18,FALSE)/1000000,"n/a")</f>
        <v>38.284799999999997</v>
      </c>
      <c r="J20" s="27">
        <f>_xlfn.IFNA(VLOOKUP(A20,[1]IRESS!$A$10:$F$875,5,FALSE),"n/a")</f>
        <v>166358637.595</v>
      </c>
      <c r="K20" s="28">
        <f>_xlfn.IFNA(VLOOKUP(A20,[1]IRESS!$A$11:$G$684,7,FALSE),"n/a")</f>
        <v>2116548</v>
      </c>
      <c r="L20" s="27">
        <f>_xlfn.IFNA(VLOOKUP(A20,[1]IRESS!$A$10:$F$875,4,FALSE),"n/a")</f>
        <v>5684</v>
      </c>
      <c r="M20" s="29">
        <f t="shared" si="0"/>
        <v>5.8700764665917185E-2</v>
      </c>
      <c r="N20" s="30">
        <f>_xlfn.IFNA(VLOOKUP(A20,[1]Spreads!$A$1:$G$279,2,FALSE),"n/a")</f>
        <v>3.79943381475681E-4</v>
      </c>
      <c r="O20" s="28">
        <f>IFERROR(VLOOKUP(A20,[1]Spreads!$A$1:$G$279,5,FALSE)/1000,"n/a")</f>
        <v>3538.1833101697403</v>
      </c>
      <c r="P20" s="31">
        <f>IFERROR(VLOOKUP(A20,[1]Spreads!$A$1:$G$279,6,FALSE)/1000,"n/a")</f>
        <v>3384.28783148504</v>
      </c>
      <c r="Q20" s="9"/>
      <c r="R20" s="32">
        <f>_xlfn.IFNA(VLOOKUP($A20,[1]IRESS!$A$11:$AE$696,6,FALSE)/100,"n/a")</f>
        <v>79.760000000000005</v>
      </c>
      <c r="S20" s="33">
        <f>_xlfn.IFNA(VLOOKUP($A20,[1]IRESS!$A$11:$AE$696,21,FALSE)/100,"n/a")</f>
        <v>80.34</v>
      </c>
      <c r="T20" s="32">
        <f>_xlfn.IFNA(VLOOKUP($A20,[1]IRESS!$A$11:$AE$696,22,FALSE)/100,"n/a")</f>
        <v>71.900000000000006</v>
      </c>
      <c r="V20" s="34">
        <f>IFERROR((VLOOKUP($A20,[1]IRESS!$A$11:$AE$696,20,FALSE)/100)/R20,"n/a")</f>
        <v>4.22812186559679E-2</v>
      </c>
      <c r="W20" s="35">
        <f>IFERROR(VLOOKUP($A20,[1]Morningstar!$A$2:$F$477,3,FALSE),"n/a")</f>
        <v>3.1699999999999999E-2</v>
      </c>
      <c r="X20" s="34">
        <f>IFERROR(VLOOKUP($A20,[1]Morningstar!$A$2:$F$477,4,FALSE),"n/a")</f>
        <v>0.13039999999999999</v>
      </c>
      <c r="Y20" s="35">
        <f>IFERROR(VLOOKUP($A20,[1]Morningstar!$A$2:$F$477,5,FALSE),"n/a")</f>
        <v>8.8599999999999998E-2</v>
      </c>
      <c r="Z20" s="34">
        <f>IFERROR(VLOOKUP($A20,[1]Morningstar!$A$2:$F$477,6,FALSE),"n/a")</f>
        <v>9.7500000000000003E-2</v>
      </c>
    </row>
    <row r="21" spans="1:26">
      <c r="A21" s="21" t="s">
        <v>37</v>
      </c>
      <c r="B21" s="22" t="s">
        <v>28</v>
      </c>
      <c r="C21" s="23" t="str">
        <f>VLOOKUP(A21,'[1]ETF List'!$A$3:$B$185,2,FALSE)</f>
        <v>Vanguard MSCI Australian Large Companies Index ETF</v>
      </c>
      <c r="D21" s="24"/>
      <c r="E21" s="7"/>
      <c r="F21" s="25">
        <f>_xlfn.IFNA(VLOOKUP(A21,'[1]ETF List'!$A$2:$I$180,6,FALSE),"n/a")</f>
        <v>0.2</v>
      </c>
      <c r="G21" s="26">
        <f>_xlfn.IFNA(VLOOKUP(A21,'[1]ETF List'!$A$2:$J$180,8,FALSE)/1000000,"n/a")</f>
        <v>83.675614190000005</v>
      </c>
      <c r="H21" s="25">
        <f>_xlfn.IFNA(VLOOKUP(A21,'[1]ETF List'!$A$2:$N$180,14,FALSE)/1000000,"n/a")</f>
        <v>3.0835454499999879</v>
      </c>
      <c r="I21" s="26">
        <f>_xlfn.IFNA(VLOOKUP(A21,'[1]ETF List'!$A:$R,18,FALSE)/1000000,"n/a")</f>
        <v>-1.4847610145807268E-14</v>
      </c>
      <c r="J21" s="27">
        <f>_xlfn.IFNA(VLOOKUP(A21,[1]IRESS!$A$10:$F$875,5,FALSE),"n/a")</f>
        <v>1634898.5299999998</v>
      </c>
      <c r="K21" s="28">
        <f>_xlfn.IFNA(VLOOKUP(A21,[1]IRESS!$A$11:$G$684,7,FALSE),"n/a")</f>
        <v>26241</v>
      </c>
      <c r="L21" s="27">
        <f>_xlfn.IFNA(VLOOKUP(A21,[1]IRESS!$A$10:$F$875,4,FALSE),"n/a")</f>
        <v>97</v>
      </c>
      <c r="M21" s="29">
        <f t="shared" si="0"/>
        <v>1.9538530380998211E-2</v>
      </c>
      <c r="N21" s="30">
        <f>_xlfn.IFNA(VLOOKUP(A21,[1]Spreads!$A$1:$G$279,2,FALSE),"n/a")</f>
        <v>8.060262404422509E-4</v>
      </c>
      <c r="O21" s="28">
        <f>IFERROR(VLOOKUP(A21,[1]Spreads!$A$1:$G$279,5,FALSE)/1000,"n/a")</f>
        <v>1831.5551940287401</v>
      </c>
      <c r="P21" s="31">
        <f>IFERROR(VLOOKUP(A21,[1]Spreads!$A$1:$G$279,6,FALSE)/1000,"n/a")</f>
        <v>1786.6042359292001</v>
      </c>
      <c r="Q21" s="9"/>
      <c r="R21" s="32">
        <f>_xlfn.IFNA(VLOOKUP($A21,[1]IRESS!$A$11:$AE$696,6,FALSE)/100,"n/a")</f>
        <v>63.93</v>
      </c>
      <c r="S21" s="33">
        <f>_xlfn.IFNA(VLOOKUP($A21,[1]IRESS!$A$11:$AE$696,21,FALSE)/100,"n/a")</f>
        <v>63.96</v>
      </c>
      <c r="T21" s="32">
        <f>_xlfn.IFNA(VLOOKUP($A21,[1]IRESS!$A$11:$AE$696,22,FALSE)/100,"n/a")</f>
        <v>58.37</v>
      </c>
      <c r="V21" s="34">
        <f>IFERROR((VLOOKUP($A21,[1]IRESS!$A$11:$AE$696,20,FALSE)/100)/R21,"n/a")</f>
        <v>4.1754841232598157E-2</v>
      </c>
      <c r="W21" s="35">
        <f>IFERROR(VLOOKUP($A21,[1]Morningstar!$A$2:$F$477,3,FALSE),"n/a")</f>
        <v>3.3000000000000002E-2</v>
      </c>
      <c r="X21" s="34">
        <f>IFERROR(VLOOKUP($A21,[1]Morningstar!$A$2:$F$477,4,FALSE),"n/a")</f>
        <v>0.1052</v>
      </c>
      <c r="Y21" s="35">
        <f>IFERROR(VLOOKUP($A21,[1]Morningstar!$A$2:$F$477,5,FALSE),"n/a")</f>
        <v>5.9499999999999997E-2</v>
      </c>
      <c r="Z21" s="34">
        <f>IFERROR(VLOOKUP($A21,[1]Morningstar!$A$2:$F$477,6,FALSE),"n/a")</f>
        <v>7.4999999999999997E-2</v>
      </c>
    </row>
    <row r="22" spans="1:26" s="36" customFormat="1">
      <c r="A22" s="21" t="s">
        <v>38</v>
      </c>
      <c r="B22" s="22" t="s">
        <v>28</v>
      </c>
      <c r="C22" s="23" t="str">
        <f>VLOOKUP(A22,'[1]ETF List'!$A$3:$B$185,2,FALSE)</f>
        <v>ETFS S&amp;P/ASX 100 ETF</v>
      </c>
      <c r="D22" s="24"/>
      <c r="E22" s="7"/>
      <c r="F22" s="25">
        <f>_xlfn.IFNA(VLOOKUP(A22,'[1]ETF List'!$A$2:$I$180,6,FALSE),"n/a")</f>
        <v>0.24</v>
      </c>
      <c r="G22" s="26">
        <f>_xlfn.IFNA(VLOOKUP(A22,'[1]ETF List'!$A$2:$J$180,8,FALSE)/1000000,"n/a")</f>
        <v>9.4689086399999987</v>
      </c>
      <c r="H22" s="25">
        <f>_xlfn.IFNA(VLOOKUP(A22,'[1]ETF List'!$A$2:$N$180,14,FALSE)/1000000,"n/a")</f>
        <v>0.28303802999999744</v>
      </c>
      <c r="I22" s="26">
        <f>_xlfn.IFNA(VLOOKUP(A22,'[1]ETF List'!$A:$R,18,FALSE)/1000000,"n/a")</f>
        <v>0</v>
      </c>
      <c r="J22" s="27">
        <f>_xlfn.IFNA(VLOOKUP(A22,[1]IRESS!$A$10:$F$875,5,FALSE),"n/a")</f>
        <v>500498.93000000005</v>
      </c>
      <c r="K22" s="28">
        <f>_xlfn.IFNA(VLOOKUP(A22,[1]IRESS!$A$11:$G$684,7,FALSE),"n/a")</f>
        <v>45370</v>
      </c>
      <c r="L22" s="27">
        <f>_xlfn.IFNA(VLOOKUP(A22,[1]IRESS!$A$10:$F$875,4,FALSE),"n/a")</f>
        <v>16</v>
      </c>
      <c r="M22" s="29">
        <f t="shared" si="0"/>
        <v>5.2857087234500992E-2</v>
      </c>
      <c r="N22" s="30">
        <f>_xlfn.IFNA(VLOOKUP(A22,[1]Spreads!$A$1:$G$279,2,FALSE),"n/a")</f>
        <v>1.4304659263943799E-3</v>
      </c>
      <c r="O22" s="28">
        <f>IFERROR(VLOOKUP(A22,[1]Spreads!$A$1:$G$279,5,FALSE)/1000,"n/a")</f>
        <v>210.963074189249</v>
      </c>
      <c r="P22" s="31">
        <f>IFERROR(VLOOKUP(A22,[1]Spreads!$A$1:$G$279,6,FALSE)/1000,"n/a")</f>
        <v>211.51092595290899</v>
      </c>
      <c r="Q22" s="9"/>
      <c r="R22" s="32">
        <f>_xlfn.IFNA(VLOOKUP($A22,[1]IRESS!$A$11:$AE$696,6,FALSE)/100,"n/a")</f>
        <v>11.11</v>
      </c>
      <c r="S22" s="33">
        <f>_xlfn.IFNA(VLOOKUP($A22,[1]IRESS!$A$11:$AE$696,21,FALSE)/100,"n/a")</f>
        <v>11.13</v>
      </c>
      <c r="T22" s="32">
        <f>_xlfn.IFNA(VLOOKUP($A22,[1]IRESS!$A$11:$AE$696,22,FALSE)/100,"n/a")</f>
        <v>10.119999999999999</v>
      </c>
      <c r="U22" s="7"/>
      <c r="V22" s="34">
        <f>IFERROR((VLOOKUP($A22,[1]IRESS!$A$11:$AE$696,20,FALSE)/100)/R22,"n/a")</f>
        <v>3.3729072907290734E-2</v>
      </c>
      <c r="W22" s="35">
        <f>IFERROR(VLOOKUP($A22,[1]Morningstar!$A$2:$F$477,3,FALSE),"n/a")</f>
        <v>2.3800000000000002E-2</v>
      </c>
      <c r="X22" s="34">
        <f>IFERROR(VLOOKUP($A22,[1]Morningstar!$A$2:$F$477,4,FALSE),"n/a")</f>
        <v>0.1236</v>
      </c>
      <c r="Y22" s="35">
        <f>IFERROR(VLOOKUP($A22,[1]Morningstar!$A$2:$F$477,5,FALSE),"n/a")</f>
        <v>9.1300000000000006E-2</v>
      </c>
      <c r="Z22" s="34" t="str">
        <f>IFERROR(VLOOKUP($A22,[1]Morningstar!$A$2:$F$477,6,FALSE),"n/a")</f>
        <v>n/a</v>
      </c>
    </row>
    <row r="23" spans="1:26" s="45" customFormat="1">
      <c r="A23" s="37" t="s">
        <v>39</v>
      </c>
      <c r="B23" s="38"/>
      <c r="C23" s="38"/>
      <c r="D23" s="38"/>
      <c r="E23" s="7"/>
      <c r="F23" s="39"/>
      <c r="G23" s="39"/>
      <c r="H23" s="39"/>
      <c r="I23" s="39"/>
      <c r="J23" s="39"/>
      <c r="K23" s="39"/>
      <c r="L23" s="39"/>
      <c r="M23" s="40"/>
      <c r="N23" s="40"/>
      <c r="O23" s="39"/>
      <c r="P23" s="41"/>
      <c r="Q23" s="9"/>
      <c r="R23" s="42"/>
      <c r="S23" s="42"/>
      <c r="T23" s="42"/>
      <c r="U23" s="7"/>
      <c r="V23" s="43"/>
      <c r="W23" s="44"/>
      <c r="X23" s="44"/>
      <c r="Y23" s="44"/>
      <c r="Z23" s="38"/>
    </row>
    <row r="24" spans="1:26">
      <c r="A24" s="21" t="s">
        <v>40</v>
      </c>
      <c r="B24" s="22" t="s">
        <v>28</v>
      </c>
      <c r="C24" s="23" t="str">
        <f>VLOOKUP(A24,'[1]ETF List'!$A$3:$B$185,2,FALSE)</f>
        <v>BetaShares Australian Ex-20 Portfolio Diversifier ETF</v>
      </c>
      <c r="D24" s="24"/>
      <c r="E24" s="7"/>
      <c r="F24" s="25">
        <f>_xlfn.IFNA(VLOOKUP(A24,'[1]ETF List'!$A$2:$I$180,6,FALSE),"n/a")</f>
        <v>0.25</v>
      </c>
      <c r="G24" s="26">
        <f>_xlfn.IFNA(VLOOKUP(A24,'[1]ETF List'!$A$2:$J$180,8,FALSE)/1000000,"n/a")</f>
        <v>36.603722129999994</v>
      </c>
      <c r="H24" s="25">
        <f>_xlfn.IFNA(VLOOKUP(A24,'[1]ETF List'!$A$2:$N$180,14,FALSE)/1000000,"n/a")</f>
        <v>4.5586484999999959</v>
      </c>
      <c r="I24" s="26">
        <f>_xlfn.IFNA(VLOOKUP(A24,'[1]ETF List'!$A:$R,18,FALSE)/1000000,"n/a")</f>
        <v>3.6579999999999955</v>
      </c>
      <c r="J24" s="27">
        <f>_xlfn.IFNA(VLOOKUP(A24,[1]IRESS!$A$10:$F$875,5,FALSE),"n/a")</f>
        <v>4504533.71</v>
      </c>
      <c r="K24" s="28">
        <f>_xlfn.IFNA(VLOOKUP(A24,[1]IRESS!$A$11:$G$684,7,FALSE),"n/a")</f>
        <v>248663</v>
      </c>
      <c r="L24" s="27">
        <f>_xlfn.IFNA(VLOOKUP(A24,[1]IRESS!$A$10:$F$875,4,FALSE),"n/a")</f>
        <v>186</v>
      </c>
      <c r="M24" s="29">
        <f t="shared" si="0"/>
        <v>0.12306217640932574</v>
      </c>
      <c r="N24" s="30">
        <f>_xlfn.IFNA(VLOOKUP(A24,[1]Spreads!$A$1:$G$279,2,FALSE),"n/a")</f>
        <v>2.0187012384083399E-3</v>
      </c>
      <c r="O24" s="28">
        <f>IFERROR(VLOOKUP(A24,[1]Spreads!$A$1:$G$279,5,FALSE)/1000,"n/a")</f>
        <v>995.71501650271898</v>
      </c>
      <c r="P24" s="31">
        <f>IFERROR(VLOOKUP(A24,[1]Spreads!$A$1:$G$279,6,FALSE)/1000,"n/a")</f>
        <v>1044.9736674596199</v>
      </c>
      <c r="Q24" s="9"/>
      <c r="R24" s="32">
        <f>_xlfn.IFNA(VLOOKUP($A24,[1]IRESS!$A$11:$AE$696,6,FALSE)/100,"n/a")</f>
        <v>18.29</v>
      </c>
      <c r="S24" s="33">
        <f>_xlfn.IFNA(VLOOKUP($A24,[1]IRESS!$A$11:$AE$696,21,FALSE)/100,"n/a")</f>
        <v>18.5</v>
      </c>
      <c r="T24" s="32">
        <f>_xlfn.IFNA(VLOOKUP($A24,[1]IRESS!$A$11:$AE$696,22,FALSE)/100,"n/a")</f>
        <v>15.5</v>
      </c>
      <c r="V24" s="34">
        <f>IFERROR((VLOOKUP($A24,[1]IRESS!$A$11:$AE$696,20,FALSE)/100)/R24,"n/a")</f>
        <v>4.2662219792236195E-2</v>
      </c>
      <c r="W24" s="35">
        <f>IFERROR(VLOOKUP($A24,[1]Morningstar!$A$2:$F$477,3,FALSE),"n/a")</f>
        <v>3.2800000000000003E-2</v>
      </c>
      <c r="X24" s="34">
        <f>IFERROR(VLOOKUP($A24,[1]Morningstar!$A$2:$F$477,4,FALSE),"n/a")</f>
        <v>0.16170000000000001</v>
      </c>
      <c r="Y24" s="35" t="str">
        <f>IFERROR(VLOOKUP($A24,[1]Morningstar!$A$2:$F$477,5,FALSE),"n/a")</f>
        <v>n/a</v>
      </c>
      <c r="Z24" s="34" t="str">
        <f>IFERROR(VLOOKUP($A24,[1]Morningstar!$A$2:$F$477,6,FALSE),"n/a")</f>
        <v>n/a</v>
      </c>
    </row>
    <row r="25" spans="1:26">
      <c r="A25" s="21" t="s">
        <v>41</v>
      </c>
      <c r="B25" s="22" t="s">
        <v>28</v>
      </c>
      <c r="C25" s="23" t="str">
        <f>VLOOKUP(A25,'[1]ETF List'!$A$3:$B$185,2,FALSE)</f>
        <v>iShares S&amp;P/ASX Small Ordinaries ETF</v>
      </c>
      <c r="D25" s="24"/>
      <c r="E25" s="7"/>
      <c r="F25" s="25">
        <f>_xlfn.IFNA(VLOOKUP(A25,'[1]ETF List'!$A$2:$I$180,6,FALSE),"n/a")</f>
        <v>0.55000000000000004</v>
      </c>
      <c r="G25" s="26">
        <f>_xlfn.IFNA(VLOOKUP(A25,'[1]ETF List'!$A$2:$J$180,8,FALSE)/1000000,"n/a")</f>
        <v>106.04771212</v>
      </c>
      <c r="H25" s="25">
        <f>_xlfn.IFNA(VLOOKUP(A25,'[1]ETF List'!$A$2:$N$180,14,FALSE)/1000000,"n/a")</f>
        <v>4.7150490400000065</v>
      </c>
      <c r="I25" s="26">
        <f>_xlfn.IFNA(VLOOKUP(A25,'[1]ETF List'!$A:$R,18,FALSE)/1000000,"n/a")</f>
        <v>3.1440000000000001</v>
      </c>
      <c r="J25" s="27">
        <f>_xlfn.IFNA(VLOOKUP(A25,[1]IRESS!$A$10:$F$875,5,FALSE),"n/a")</f>
        <v>6823562.8250000002</v>
      </c>
      <c r="K25" s="28">
        <f>_xlfn.IFNA(VLOOKUP(A25,[1]IRESS!$A$11:$G$684,7,FALSE),"n/a")</f>
        <v>1309166</v>
      </c>
      <c r="L25" s="27">
        <f>_xlfn.IFNA(VLOOKUP(A25,[1]IRESS!$A$10:$F$875,4,FALSE),"n/a")</f>
        <v>273</v>
      </c>
      <c r="M25" s="29">
        <f t="shared" si="0"/>
        <v>6.4344271918650039E-2</v>
      </c>
      <c r="N25" s="30">
        <f>_xlfn.IFNA(VLOOKUP(A25,[1]Spreads!$A$1:$G$279,2,FALSE),"n/a")</f>
        <v>2.8809820360336403E-3</v>
      </c>
      <c r="O25" s="28">
        <f>IFERROR(VLOOKUP(A25,[1]Spreads!$A$1:$G$279,5,FALSE)/1000,"n/a")</f>
        <v>791.43108159368205</v>
      </c>
      <c r="P25" s="31">
        <f>IFERROR(VLOOKUP(A25,[1]Spreads!$A$1:$G$279,6,FALSE)/1000,"n/a")</f>
        <v>721.64346066103508</v>
      </c>
      <c r="Q25" s="9"/>
      <c r="R25" s="32">
        <f>_xlfn.IFNA(VLOOKUP($A25,[1]IRESS!$A$11:$AE$696,6,FALSE)/100,"n/a")</f>
        <v>5.24</v>
      </c>
      <c r="S25" s="33">
        <f>_xlfn.IFNA(VLOOKUP($A25,[1]IRESS!$A$11:$AE$696,21,FALSE)/100,"n/a")</f>
        <v>5.33</v>
      </c>
      <c r="T25" s="32">
        <f>_xlfn.IFNA(VLOOKUP($A25,[1]IRESS!$A$11:$AE$696,22,FALSE)/100,"n/a")</f>
        <v>4.2300000000000004</v>
      </c>
      <c r="V25" s="34">
        <f>IFERROR((VLOOKUP($A25,[1]IRESS!$A$11:$AE$696,20,FALSE)/100)/R25,"n/a")</f>
        <v>1.7332251908396944E-2</v>
      </c>
      <c r="W25" s="35">
        <f>IFERROR(VLOOKUP($A25,[1]Morningstar!$A$2:$F$477,3,FALSE),"n/a")</f>
        <v>2.5399999999999999E-2</v>
      </c>
      <c r="X25" s="34">
        <f>IFERROR(VLOOKUP($A25,[1]Morningstar!$A$2:$F$477,4,FALSE),"n/a")</f>
        <v>0.23419999999999999</v>
      </c>
      <c r="Y25" s="35">
        <f>IFERROR(VLOOKUP($A25,[1]Morningstar!$A$2:$F$477,5,FALSE),"n/a")</f>
        <v>0.13900000000000001</v>
      </c>
      <c r="Z25" s="34">
        <f>IFERROR(VLOOKUP($A25,[1]Morningstar!$A$2:$F$477,6,FALSE),"n/a")</f>
        <v>0.1065</v>
      </c>
    </row>
    <row r="26" spans="1:26">
      <c r="A26" s="21" t="s">
        <v>42</v>
      </c>
      <c r="B26" s="22" t="s">
        <v>43</v>
      </c>
      <c r="C26" s="23" t="str">
        <f>VLOOKUP(A26,'[1]ETF List'!$A$3:$B$185,2,FALSE)</f>
        <v>K2 Australian Small Cap Fund (Hedge Fund)</v>
      </c>
      <c r="D26" s="24"/>
      <c r="E26" s="7"/>
      <c r="F26" s="25">
        <f>_xlfn.IFNA(VLOOKUP(A26,'[1]ETF List'!$A$2:$I$180,6,FALSE),"n/a")</f>
        <v>2.7</v>
      </c>
      <c r="G26" s="26">
        <f>_xlfn.IFNA(VLOOKUP(A26,'[1]ETF List'!$A$2:$J$180,8,FALSE)/1000000,"n/a")</f>
        <v>14.002710480000001</v>
      </c>
      <c r="H26" s="25">
        <f>_xlfn.IFNA(VLOOKUP(A26,'[1]ETF List'!$A$2:$N$180,14,FALSE)/1000000,"n/a")</f>
        <v>-0.54607868999999953</v>
      </c>
      <c r="I26" s="26">
        <f>_xlfn.IFNA(VLOOKUP(A26,'[1]ETF List'!$A:$R,18,FALSE)/1000000,"n/a")</f>
        <v>0.61561169999999998</v>
      </c>
      <c r="J26" s="27">
        <f>_xlfn.IFNA(VLOOKUP(A26,[1]IRESS!$A$10:$F$875,5,FALSE),"n/a")</f>
        <v>1025786.0699999998</v>
      </c>
      <c r="K26" s="28">
        <f>_xlfn.IFNA(VLOOKUP(A26,[1]IRESS!$A$11:$G$684,7,FALSE),"n/a")</f>
        <v>392563</v>
      </c>
      <c r="L26" s="27">
        <f>_xlfn.IFNA(VLOOKUP(A26,[1]IRESS!$A$10:$F$875,4,FALSE),"n/a")</f>
        <v>18</v>
      </c>
      <c r="M26" s="29">
        <f t="shared" si="0"/>
        <v>7.3256250742677623E-2</v>
      </c>
      <c r="N26" s="30">
        <f>_xlfn.IFNA(VLOOKUP(A26,[1]Spreads!$A$1:$G$279,2,FALSE),"n/a")</f>
        <v>1.2350085323915501E-2</v>
      </c>
      <c r="O26" s="28">
        <f>IFERROR(VLOOKUP(A26,[1]Spreads!$A$1:$G$279,5,FALSE)/1000,"n/a")</f>
        <v>470.70740548766202</v>
      </c>
      <c r="P26" s="31">
        <f>IFERROR(VLOOKUP(A26,[1]Spreads!$A$1:$G$279,6,FALSE)/1000,"n/a")</f>
        <v>433.49645159809597</v>
      </c>
      <c r="Q26" s="9"/>
      <c r="R26" s="32">
        <f>_xlfn.IFNA(VLOOKUP($A26,[1]IRESS!$A$11:$AE$696,6,FALSE)/100,"n/a")</f>
        <v>2.56</v>
      </c>
      <c r="S26" s="33">
        <f>_xlfn.IFNA(VLOOKUP($A26,[1]IRESS!$A$11:$AE$696,21,FALSE)/100,"n/a")</f>
        <v>2.8</v>
      </c>
      <c r="T26" s="32">
        <f>_xlfn.IFNA(VLOOKUP($A26,[1]IRESS!$A$11:$AE$696,22,FALSE)/100,"n/a")</f>
        <v>2.42</v>
      </c>
      <c r="V26" s="34">
        <f>IFERROR((VLOOKUP($A26,[1]IRESS!$A$11:$AE$696,20,FALSE)/100)/R26,"n/a")</f>
        <v>6.640625E-2</v>
      </c>
      <c r="W26" s="35">
        <f>IFERROR(VLOOKUP($A26,[1]Morningstar!$A$2:$F$477,3,FALSE),"n/a")</f>
        <v>4.1799999999999997E-2</v>
      </c>
      <c r="X26" s="34">
        <f>IFERROR(VLOOKUP($A26,[1]Morningstar!$A$2:$F$477,4,FALSE),"n/a")</f>
        <v>5.3499999999999999E-2</v>
      </c>
      <c r="Y26" s="35" t="str">
        <f>IFERROR(VLOOKUP($A26,[1]Morningstar!$A$2:$F$477,5,FALSE),"n/a")</f>
        <v>n/a</v>
      </c>
      <c r="Z26" s="34" t="str">
        <f>IFERROR(VLOOKUP($A26,[1]Morningstar!$A$2:$F$477,6,FALSE),"n/a")</f>
        <v>n/a</v>
      </c>
    </row>
    <row r="27" spans="1:26">
      <c r="A27" s="21" t="s">
        <v>44</v>
      </c>
      <c r="B27" s="22" t="s">
        <v>28</v>
      </c>
      <c r="C27" s="23" t="str">
        <f>VLOOKUP(A27,'[1]ETF List'!$A$3:$B$185,2,FALSE)</f>
        <v>VanEck Vectors S&amp;P/ASX MidCap 50 ETF</v>
      </c>
      <c r="D27" s="24"/>
      <c r="E27" s="7"/>
      <c r="F27" s="25">
        <f>_xlfn.IFNA(VLOOKUP(A27,'[1]ETF List'!$A$2:$I$180,6,FALSE),"n/a")</f>
        <v>0.45</v>
      </c>
      <c r="G27" s="26">
        <f>_xlfn.IFNA(VLOOKUP(A27,'[1]ETF List'!$A$2:$J$180,8,FALSE)/1000000,"n/a")</f>
        <v>88.815787200000003</v>
      </c>
      <c r="H27" s="25">
        <f>_xlfn.IFNA(VLOOKUP(A27,'[1]ETF List'!$A$2:$N$180,14,FALSE)/1000000,"n/a")</f>
        <v>7.664325760000005</v>
      </c>
      <c r="I27" s="26">
        <f>_xlfn.IFNA(VLOOKUP(A27,'[1]ETF List'!$A:$R,18,FALSE)/1000000,"n/a")</f>
        <v>5.6700000000000133</v>
      </c>
      <c r="J27" s="27">
        <f>_xlfn.IFNA(VLOOKUP(A27,[1]IRESS!$A$10:$F$875,5,FALSE),"n/a")</f>
        <v>6279549.4699999997</v>
      </c>
      <c r="K27" s="28">
        <f>_xlfn.IFNA(VLOOKUP(A27,[1]IRESS!$A$11:$G$684,7,FALSE),"n/a")</f>
        <v>222716</v>
      </c>
      <c r="L27" s="27">
        <f>_xlfn.IFNA(VLOOKUP(A27,[1]IRESS!$A$10:$F$875,4,FALSE),"n/a")</f>
        <v>183</v>
      </c>
      <c r="M27" s="29">
        <f t="shared" si="0"/>
        <v>7.0703077324072855E-2</v>
      </c>
      <c r="N27" s="30">
        <f>_xlfn.IFNA(VLOOKUP(A27,[1]Spreads!$A$1:$G$279,2,FALSE),"n/a")</f>
        <v>1.01203780778392E-3</v>
      </c>
      <c r="O27" s="28">
        <f>IFERROR(VLOOKUP(A27,[1]Spreads!$A$1:$G$279,5,FALSE)/1000,"n/a")</f>
        <v>998.05854395792505</v>
      </c>
      <c r="P27" s="31">
        <f>IFERROR(VLOOKUP(A27,[1]Spreads!$A$1:$G$279,6,FALSE)/1000,"n/a")</f>
        <v>1778.6902447135299</v>
      </c>
      <c r="Q27" s="9"/>
      <c r="R27" s="32">
        <f>_xlfn.IFNA(VLOOKUP($A27,[1]IRESS!$A$11:$AE$696,6,FALSE)/100,"n/a")</f>
        <v>28.28</v>
      </c>
      <c r="S27" s="33">
        <f>_xlfn.IFNA(VLOOKUP($A27,[1]IRESS!$A$11:$AE$696,21,FALSE)/100,"n/a")</f>
        <v>28.78</v>
      </c>
      <c r="T27" s="32">
        <f>_xlfn.IFNA(VLOOKUP($A27,[1]IRESS!$A$11:$AE$696,22,FALSE)/100,"n/a")</f>
        <v>24.72</v>
      </c>
      <c r="V27" s="34">
        <f>IFERROR((VLOOKUP($A27,[1]IRESS!$A$11:$AE$696,20,FALSE)/100)/R27,"n/a")</f>
        <v>2.2984441301272984E-2</v>
      </c>
      <c r="W27" s="35">
        <f>IFERROR(VLOOKUP($A27,[1]Morningstar!$A$2:$F$477,3,FALSE),"n/a")</f>
        <v>2.6599999999999999E-2</v>
      </c>
      <c r="X27" s="34">
        <f>IFERROR(VLOOKUP($A27,[1]Morningstar!$A$2:$F$477,4,FALSE),"n/a")</f>
        <v>0.1376</v>
      </c>
      <c r="Y27" s="35">
        <f>IFERROR(VLOOKUP($A27,[1]Morningstar!$A$2:$F$477,5,FALSE),"n/a")</f>
        <v>0.12820000000000001</v>
      </c>
      <c r="Z27" s="34" t="str">
        <f>IFERROR(VLOOKUP($A27,[1]Morningstar!$A$2:$F$477,6,FALSE),"n/a")</f>
        <v>n/a</v>
      </c>
    </row>
    <row r="28" spans="1:26">
      <c r="A28" s="21" t="s">
        <v>45</v>
      </c>
      <c r="B28" s="22" t="s">
        <v>28</v>
      </c>
      <c r="C28" s="23" t="str">
        <f>VLOOKUP(A28,'[1]ETF List'!$A$3:$B$185,2,FALSE)</f>
        <v>VanEck Vectors Small Companies Masters ETF</v>
      </c>
      <c r="D28" s="24"/>
      <c r="E28" s="7"/>
      <c r="F28" s="25">
        <f>_xlfn.IFNA(VLOOKUP(A28,'[1]ETF List'!$A$2:$I$180,6,FALSE),"n/a")</f>
        <v>0.49</v>
      </c>
      <c r="G28" s="26">
        <f>_xlfn.IFNA(VLOOKUP(A28,'[1]ETF List'!$A$2:$J$180,8,FALSE)/1000000,"n/a")</f>
        <v>70.484267040000006</v>
      </c>
      <c r="H28" s="25">
        <f>_xlfn.IFNA(VLOOKUP(A28,'[1]ETF List'!$A$2:$N$180,14,FALSE)/1000000,"n/a")</f>
        <v>1.3787475900000037</v>
      </c>
      <c r="I28" s="26">
        <f>_xlfn.IFNA(VLOOKUP(A28,'[1]ETF List'!$A:$R,18,FALSE)/1000000,"n/a")</f>
        <v>0</v>
      </c>
      <c r="J28" s="27">
        <f>_xlfn.IFNA(VLOOKUP(A28,[1]IRESS!$A$10:$F$875,5,FALSE),"n/a")</f>
        <v>5233141.0399999991</v>
      </c>
      <c r="K28" s="28">
        <f>_xlfn.IFNA(VLOOKUP(A28,[1]IRESS!$A$11:$G$684,7,FALSE),"n/a")</f>
        <v>249702</v>
      </c>
      <c r="L28" s="27">
        <f>_xlfn.IFNA(VLOOKUP(A28,[1]IRESS!$A$10:$F$875,4,FALSE),"n/a")</f>
        <v>164</v>
      </c>
      <c r="M28" s="29">
        <f t="shared" si="0"/>
        <v>7.4245519741734392E-2</v>
      </c>
      <c r="N28" s="30">
        <f>_xlfn.IFNA(VLOOKUP(A28,[1]Spreads!$A$1:$G$279,2,FALSE),"n/a")</f>
        <v>1.6283199909669999E-3</v>
      </c>
      <c r="O28" s="28">
        <f>IFERROR(VLOOKUP(A28,[1]Spreads!$A$1:$G$279,5,FALSE)/1000,"n/a")</f>
        <v>379.22052587390402</v>
      </c>
      <c r="P28" s="31">
        <f>IFERROR(VLOOKUP(A28,[1]Spreads!$A$1:$G$279,6,FALSE)/1000,"n/a")</f>
        <v>707.65087256683501</v>
      </c>
      <c r="Q28" s="9"/>
      <c r="R28" s="32">
        <f>_xlfn.IFNA(VLOOKUP($A28,[1]IRESS!$A$11:$AE$696,6,FALSE)/100,"n/a")</f>
        <v>20.91</v>
      </c>
      <c r="S28" s="33">
        <f>_xlfn.IFNA(VLOOKUP($A28,[1]IRESS!$A$11:$AE$696,21,FALSE)/100,"n/a")</f>
        <v>21.29</v>
      </c>
      <c r="T28" s="32">
        <f>_xlfn.IFNA(VLOOKUP($A28,[1]IRESS!$A$11:$AE$696,22,FALSE)/100,"n/a")</f>
        <v>17.66</v>
      </c>
      <c r="V28" s="34">
        <f>IFERROR((VLOOKUP($A28,[1]IRESS!$A$11:$AE$696,20,FALSE)/100)/R28,"n/a")</f>
        <v>3.1563845050215207E-2</v>
      </c>
      <c r="W28" s="35">
        <f>IFERROR(VLOOKUP($A28,[1]Morningstar!$A$2:$F$477,3,FALSE),"n/a")</f>
        <v>2.7799999999999998E-2</v>
      </c>
      <c r="X28" s="34">
        <f>IFERROR(VLOOKUP($A28,[1]Morningstar!$A$2:$F$477,4,FALSE),"n/a")</f>
        <v>0.1862</v>
      </c>
      <c r="Y28" s="35">
        <f>IFERROR(VLOOKUP($A28,[1]Morningstar!$A$2:$F$477,5,FALSE),"n/a")</f>
        <v>0.1371</v>
      </c>
      <c r="Z28" s="34" t="str">
        <f>IFERROR(VLOOKUP($A28,[1]Morningstar!$A$2:$F$477,6,FALSE),"n/a")</f>
        <v>n/a</v>
      </c>
    </row>
    <row r="29" spans="1:26">
      <c r="A29" s="21" t="s">
        <v>46</v>
      </c>
      <c r="B29" s="22" t="s">
        <v>28</v>
      </c>
      <c r="C29" s="23" t="str">
        <f>VLOOKUP(A29,'[1]ETF List'!$A$3:$B$185,2,FALSE)</f>
        <v>SPDR S&amp;P/ASX Small Ordinaries Fund</v>
      </c>
      <c r="D29" s="24"/>
      <c r="E29" s="7"/>
      <c r="F29" s="25">
        <f>_xlfn.IFNA(VLOOKUP(A29,'[1]ETF List'!$A$2:$I$180,6,FALSE),"n/a")</f>
        <v>0.5</v>
      </c>
      <c r="G29" s="26">
        <f>_xlfn.IFNA(VLOOKUP(A29,'[1]ETF List'!$A$2:$J$180,8,FALSE)/1000000,"n/a")</f>
        <v>21.616979600000001</v>
      </c>
      <c r="H29" s="25">
        <f>_xlfn.IFNA(VLOOKUP(A29,'[1]ETF List'!$A$2:$N$180,14,FALSE)/1000000,"n/a")</f>
        <v>1.5975515000000038</v>
      </c>
      <c r="I29" s="26">
        <f>_xlfn.IFNA(VLOOKUP(A29,'[1]ETF List'!$A:$R,18,FALSE)/1000000,"n/a")</f>
        <v>1.532</v>
      </c>
      <c r="J29" s="27">
        <f>_xlfn.IFNA(VLOOKUP(A29,[1]IRESS!$A$10:$F$875,5,FALSE),"n/a")</f>
        <v>926042.97</v>
      </c>
      <c r="K29" s="28">
        <f>_xlfn.IFNA(VLOOKUP(A29,[1]IRESS!$A$11:$G$684,7,FALSE),"n/a")</f>
        <v>59908</v>
      </c>
      <c r="L29" s="27">
        <f>_xlfn.IFNA(VLOOKUP(A29,[1]IRESS!$A$10:$F$875,4,FALSE),"n/a")</f>
        <v>49</v>
      </c>
      <c r="M29" s="29">
        <f t="shared" si="0"/>
        <v>4.283868454962135E-2</v>
      </c>
      <c r="N29" s="30">
        <f>_xlfn.IFNA(VLOOKUP(A29,[1]Spreads!$A$1:$G$279,2,FALSE),"n/a")</f>
        <v>2.0100358883896399E-3</v>
      </c>
      <c r="O29" s="28">
        <f>IFERROR(VLOOKUP(A29,[1]Spreads!$A$1:$G$279,5,FALSE)/1000,"n/a")</f>
        <v>313.85887452981001</v>
      </c>
      <c r="P29" s="31">
        <f>IFERROR(VLOOKUP(A29,[1]Spreads!$A$1:$G$279,6,FALSE)/1000,"n/a")</f>
        <v>453.54858181799096</v>
      </c>
      <c r="Q29" s="9"/>
      <c r="R29" s="32">
        <f>_xlfn.IFNA(VLOOKUP($A29,[1]IRESS!$A$11:$AE$696,6,FALSE)/100,"n/a")</f>
        <v>15.32</v>
      </c>
      <c r="S29" s="33">
        <f>_xlfn.IFNA(VLOOKUP($A29,[1]IRESS!$A$11:$AE$696,21,FALSE)/100,"n/a")</f>
        <v>15.75</v>
      </c>
      <c r="T29" s="32">
        <f>_xlfn.IFNA(VLOOKUP($A29,[1]IRESS!$A$11:$AE$696,22,FALSE)/100,"n/a")</f>
        <v>12.53</v>
      </c>
      <c r="V29" s="34">
        <f>IFERROR((VLOOKUP($A29,[1]IRESS!$A$11:$AE$696,20,FALSE)/100)/R29,"n/a")</f>
        <v>2.1688315926892951E-2</v>
      </c>
      <c r="W29" s="35">
        <f>IFERROR(VLOOKUP($A29,[1]Morningstar!$A$2:$F$477,3,FALSE),"n/a")</f>
        <v>2.7099999999999999E-2</v>
      </c>
      <c r="X29" s="34">
        <f>IFERROR(VLOOKUP($A29,[1]Morningstar!$A$2:$F$477,4,FALSE),"n/a")</f>
        <v>0.22939999999999999</v>
      </c>
      <c r="Y29" s="35">
        <f>IFERROR(VLOOKUP($A29,[1]Morningstar!$A$2:$F$477,5,FALSE),"n/a")</f>
        <v>0.14860000000000001</v>
      </c>
      <c r="Z29" s="34">
        <f>IFERROR(VLOOKUP($A29,[1]Morningstar!$A$2:$F$477,6,FALSE),"n/a")</f>
        <v>0.11310000000000001</v>
      </c>
    </row>
    <row r="30" spans="1:26" s="36" customFormat="1">
      <c r="A30" s="21" t="s">
        <v>47</v>
      </c>
      <c r="B30" s="22" t="s">
        <v>28</v>
      </c>
      <c r="C30" s="23" t="str">
        <f>VLOOKUP(A30,'[1]ETF List'!$A$3:$B$185,2,FALSE)</f>
        <v>Vanguard MSCI Australian Small Companies Index ETF</v>
      </c>
      <c r="D30" s="24"/>
      <c r="E30" s="7"/>
      <c r="F30" s="25">
        <f>_xlfn.IFNA(VLOOKUP(A30,'[1]ETF List'!$A$2:$I$180,6,FALSE),"n/a")</f>
        <v>0.3</v>
      </c>
      <c r="G30" s="26">
        <f>_xlfn.IFNA(VLOOKUP(A30,'[1]ETF List'!$A$2:$J$180,8,FALSE)/1000000,"n/a")</f>
        <v>189.30619220000003</v>
      </c>
      <c r="H30" s="25">
        <f>_xlfn.IFNA(VLOOKUP(A30,'[1]ETF List'!$A$2:$N$180,14,FALSE)/1000000,"n/a")</f>
        <v>13.394247360000014</v>
      </c>
      <c r="I30" s="26">
        <f>_xlfn.IFNA(VLOOKUP(A30,'[1]ETF List'!$A:$R,18,FALSE)/1000000,"n/a")</f>
        <v>10.430999999999999</v>
      </c>
      <c r="J30" s="27">
        <f>_xlfn.IFNA(VLOOKUP(A30,[1]IRESS!$A$10:$F$875,5,FALSE),"n/a")</f>
        <v>18009974.473200001</v>
      </c>
      <c r="K30" s="28">
        <f>_xlfn.IFNA(VLOOKUP(A30,[1]IRESS!$A$11:$G$684,7,FALSE),"n/a")</f>
        <v>311457</v>
      </c>
      <c r="L30" s="27">
        <f>_xlfn.IFNA(VLOOKUP(A30,[1]IRESS!$A$10:$F$875,4,FALSE),"n/a")</f>
        <v>720</v>
      </c>
      <c r="M30" s="29">
        <f t="shared" si="0"/>
        <v>9.5136742564515014E-2</v>
      </c>
      <c r="N30" s="30">
        <f>_xlfn.IFNA(VLOOKUP(A30,[1]Spreads!$A$1:$G$279,2,FALSE),"n/a")</f>
        <v>1.0918310220610101E-3</v>
      </c>
      <c r="O30" s="28">
        <f>IFERROR(VLOOKUP(A30,[1]Spreads!$A$1:$G$279,5,FALSE)/1000,"n/a")</f>
        <v>1298.8988429691601</v>
      </c>
      <c r="P30" s="31">
        <f>IFERROR(VLOOKUP(A30,[1]Spreads!$A$1:$G$279,6,FALSE)/1000,"n/a")</f>
        <v>1596.99595542161</v>
      </c>
      <c r="Q30" s="9"/>
      <c r="R30" s="32">
        <f>_xlfn.IFNA(VLOOKUP($A30,[1]IRESS!$A$11:$AE$696,6,FALSE)/100,"n/a")</f>
        <v>57.95</v>
      </c>
      <c r="S30" s="33">
        <f>_xlfn.IFNA(VLOOKUP($A30,[1]IRESS!$A$11:$AE$696,21,FALSE)/100,"n/a")</f>
        <v>58.94</v>
      </c>
      <c r="T30" s="32">
        <f>_xlfn.IFNA(VLOOKUP($A30,[1]IRESS!$A$11:$AE$696,22,FALSE)/100,"n/a")</f>
        <v>48.27</v>
      </c>
      <c r="U30" s="7"/>
      <c r="V30" s="34">
        <f>IFERROR((VLOOKUP($A30,[1]IRESS!$A$11:$AE$696,20,FALSE)/100)/R30,"n/a")</f>
        <v>1.945111302847282E-2</v>
      </c>
      <c r="W30" s="35">
        <f>IFERROR(VLOOKUP($A30,[1]Morningstar!$A$2:$F$477,3,FALSE),"n/a")</f>
        <v>2.58E-2</v>
      </c>
      <c r="X30" s="34">
        <f>IFERROR(VLOOKUP($A30,[1]Morningstar!$A$2:$F$477,4,FALSE),"n/a")</f>
        <v>0.19020000000000001</v>
      </c>
      <c r="Y30" s="35">
        <f>IFERROR(VLOOKUP($A30,[1]Morningstar!$A$2:$F$477,5,FALSE),"n/a")</f>
        <v>0.1431</v>
      </c>
      <c r="Z30" s="34">
        <f>IFERROR(VLOOKUP($A30,[1]Morningstar!$A$2:$F$477,6,FALSE),"n/a")</f>
        <v>0.11169999999999999</v>
      </c>
    </row>
    <row r="31" spans="1:26">
      <c r="A31" s="37" t="s">
        <v>48</v>
      </c>
      <c r="B31" s="38"/>
      <c r="C31" s="38"/>
      <c r="D31" s="38"/>
      <c r="E31" s="7"/>
      <c r="F31" s="39"/>
      <c r="G31" s="39"/>
      <c r="H31" s="39"/>
      <c r="I31" s="39"/>
      <c r="J31" s="39"/>
      <c r="K31" s="39"/>
      <c r="L31" s="39"/>
      <c r="M31" s="40"/>
      <c r="N31" s="40"/>
      <c r="O31" s="39"/>
      <c r="P31" s="41"/>
      <c r="Q31" s="9"/>
      <c r="R31" s="42"/>
      <c r="S31" s="42"/>
      <c r="T31" s="42"/>
      <c r="V31" s="43"/>
      <c r="W31" s="44"/>
      <c r="X31" s="44"/>
      <c r="Y31" s="44"/>
      <c r="Z31" s="38"/>
    </row>
    <row r="32" spans="1:26">
      <c r="A32" s="21" t="s">
        <v>49</v>
      </c>
      <c r="B32" s="22" t="s">
        <v>28</v>
      </c>
      <c r="C32" s="46" t="str">
        <f>VLOOKUP(A32,'[1]ETF List'!$A$3:$B$185,2,FALSE)</f>
        <v>VanEck Vectors Australian Bank ETF</v>
      </c>
      <c r="D32" s="24"/>
      <c r="E32" s="7"/>
      <c r="F32" s="25">
        <f>_xlfn.IFNA(VLOOKUP(A32,'[1]ETF List'!$A$2:$I$180,6,FALSE),"n/a")</f>
        <v>0.28000000000000003</v>
      </c>
      <c r="G32" s="26">
        <f>_xlfn.IFNA(VLOOKUP(A32,'[1]ETF List'!$A$2:$J$180,8,FALSE)/1000000,"n/a")</f>
        <v>35.445832240000001</v>
      </c>
      <c r="H32" s="25">
        <f>_xlfn.IFNA(VLOOKUP(A32,'[1]ETF List'!$A$2:$N$180,14,FALSE)/1000000,"n/a")</f>
        <v>4.944874760000002</v>
      </c>
      <c r="I32" s="26">
        <f>_xlfn.IFNA(VLOOKUP(A32,'[1]ETF List'!$A:$R,18,FALSE)/1000000,"n/a")</f>
        <v>3.3431999999999999</v>
      </c>
      <c r="J32" s="27">
        <f>_xlfn.IFNA(VLOOKUP(A32,[1]IRESS!$A$10:$F$875,5,FALSE),"n/a")</f>
        <v>6929093.29</v>
      </c>
      <c r="K32" s="28">
        <f>_xlfn.IFNA(VLOOKUP(A32,[1]IRESS!$A$11:$G$684,7,FALSE),"n/a")</f>
        <v>255900</v>
      </c>
      <c r="L32" s="27">
        <f>_xlfn.IFNA(VLOOKUP(A32,[1]IRESS!$A$10:$F$875,4,FALSE),"n/a")</f>
        <v>188</v>
      </c>
      <c r="M32" s="29">
        <f t="shared" si="0"/>
        <v>0.195484006217821</v>
      </c>
      <c r="N32" s="30">
        <f>_xlfn.IFNA(VLOOKUP(A32,[1]Spreads!$A$1:$G$279,2,FALSE),"n/a")</f>
        <v>1.11058546508804E-3</v>
      </c>
      <c r="O32" s="28">
        <f>IFERROR(VLOOKUP(A32,[1]Spreads!$A$1:$G$279,5,FALSE)/1000,"n/a")</f>
        <v>558.55864285192001</v>
      </c>
      <c r="P32" s="31">
        <f>IFERROR(VLOOKUP(A32,[1]Spreads!$A$1:$G$279,6,FALSE)/1000,"n/a")</f>
        <v>615.53947029395897</v>
      </c>
      <c r="Q32" s="9"/>
      <c r="R32" s="32">
        <f>_xlfn.IFNA(VLOOKUP($A32,[1]IRESS!$A$11:$AE$696,6,FALSE)/100,"n/a")</f>
        <v>27.86</v>
      </c>
      <c r="S32" s="33">
        <f>_xlfn.IFNA(VLOOKUP($A32,[1]IRESS!$A$11:$AE$696,21,FALSE)/100,"n/a")</f>
        <v>28.74</v>
      </c>
      <c r="T32" s="32">
        <f>_xlfn.IFNA(VLOOKUP($A32,[1]IRESS!$A$11:$AE$696,22,FALSE)/100,"n/a")</f>
        <v>25</v>
      </c>
      <c r="V32" s="34">
        <f>IFERROR((VLOOKUP($A32,[1]IRESS!$A$11:$AE$696,20,FALSE)/100)/R32,"n/a")</f>
        <v>2.9073941134242644E-2</v>
      </c>
      <c r="W32" s="35">
        <f>IFERROR(VLOOKUP($A32,[1]Morningstar!$A$2:$F$477,3,FALSE),"n/a")</f>
        <v>3.4299999999999997E-2</v>
      </c>
      <c r="X32" s="34">
        <f>IFERROR(VLOOKUP($A32,[1]Morningstar!$A$2:$F$477,4,FALSE),"n/a")</f>
        <v>6.5699999999999995E-2</v>
      </c>
      <c r="Y32" s="35">
        <f>IFERROR(VLOOKUP($A32,[1]Morningstar!$A$2:$F$477,5,FALSE),"n/a")</f>
        <v>4.9000000000000002E-2</v>
      </c>
      <c r="Z32" s="34" t="str">
        <f>IFERROR(VLOOKUP($A32,[1]Morningstar!$A$2:$F$477,6,FALSE),"n/a")</f>
        <v>n/a</v>
      </c>
    </row>
    <row r="33" spans="1:26">
      <c r="A33" s="21" t="s">
        <v>50</v>
      </c>
      <c r="B33" s="22" t="s">
        <v>28</v>
      </c>
      <c r="C33" s="46" t="str">
        <f>VLOOKUP(A33,'[1]ETF List'!$A$3:$B$185,2,FALSE)</f>
        <v>VanEck Vectors Australian Resources ETF</v>
      </c>
      <c r="D33" s="24"/>
      <c r="E33" s="7"/>
      <c r="F33" s="25">
        <f>_xlfn.IFNA(VLOOKUP(A33,'[1]ETF List'!$A$2:$I$180,6,FALSE),"n/a")</f>
        <v>0.35</v>
      </c>
      <c r="G33" s="26">
        <f>_xlfn.IFNA(VLOOKUP(A33,'[1]ETF List'!$A$2:$J$180,8,FALSE)/1000000,"n/a")</f>
        <v>96.84446539999999</v>
      </c>
      <c r="H33" s="25">
        <f>_xlfn.IFNA(VLOOKUP(A33,'[1]ETF List'!$A$2:$N$180,14,FALSE)/1000000,"n/a")</f>
        <v>5.9451543799999955</v>
      </c>
      <c r="I33" s="26">
        <f>_xlfn.IFNA(VLOOKUP(A33,'[1]ETF List'!$A:$R,18,FALSE)/1000000,"n/a")</f>
        <v>2.69</v>
      </c>
      <c r="J33" s="27">
        <f>_xlfn.IFNA(VLOOKUP(A33,[1]IRESS!$A$10:$F$875,5,FALSE),"n/a")</f>
        <v>2271637.1499999994</v>
      </c>
      <c r="K33" s="28">
        <f>_xlfn.IFNA(VLOOKUP(A33,[1]IRESS!$A$11:$G$684,7,FALSE),"n/a")</f>
        <v>85510</v>
      </c>
      <c r="L33" s="27">
        <f>_xlfn.IFNA(VLOOKUP(A33,[1]IRESS!$A$10:$F$875,4,FALSE),"n/a")</f>
        <v>114</v>
      </c>
      <c r="M33" s="29">
        <f t="shared" si="0"/>
        <v>2.3456551085468635E-2</v>
      </c>
      <c r="N33" s="30">
        <f>_xlfn.IFNA(VLOOKUP(A33,[1]Spreads!$A$1:$G$279,2,FALSE),"n/a")</f>
        <v>1.9320533384129901E-3</v>
      </c>
      <c r="O33" s="28">
        <f>IFERROR(VLOOKUP(A33,[1]Spreads!$A$1:$G$279,5,FALSE)/1000,"n/a")</f>
        <v>407.54460065212101</v>
      </c>
      <c r="P33" s="31">
        <f>IFERROR(VLOOKUP(A33,[1]Spreads!$A$1:$G$279,6,FALSE)/1000,"n/a")</f>
        <v>701.27870903976293</v>
      </c>
      <c r="Q33" s="9"/>
      <c r="R33" s="32">
        <f>_xlfn.IFNA(VLOOKUP($A33,[1]IRESS!$A$11:$AE$696,6,FALSE)/100,"n/a")</f>
        <v>26.9</v>
      </c>
      <c r="S33" s="33">
        <f>_xlfn.IFNA(VLOOKUP($A33,[1]IRESS!$A$11:$AE$696,21,FALSE)/100,"n/a")</f>
        <v>27.08</v>
      </c>
      <c r="T33" s="32">
        <f>_xlfn.IFNA(VLOOKUP($A33,[1]IRESS!$A$11:$AE$696,22,FALSE)/100,"n/a")</f>
        <v>19.89</v>
      </c>
      <c r="V33" s="34">
        <f>IFERROR((VLOOKUP($A33,[1]IRESS!$A$11:$AE$696,20,FALSE)/100)/R33,"n/a")</f>
        <v>2.2304832713754646E-2</v>
      </c>
      <c r="W33" s="35">
        <f>IFERROR(VLOOKUP($A33,[1]Morningstar!$A$2:$F$477,3,FALSE),"n/a")</f>
        <v>5.62E-2</v>
      </c>
      <c r="X33" s="34">
        <f>IFERROR(VLOOKUP($A33,[1]Morningstar!$A$2:$F$477,4,FALSE),"n/a")</f>
        <v>0.37219999999999998</v>
      </c>
      <c r="Y33" s="35">
        <f>IFERROR(VLOOKUP($A33,[1]Morningstar!$A$2:$F$477,5,FALSE),"n/a")</f>
        <v>0.16270000000000001</v>
      </c>
      <c r="Z33" s="34" t="str">
        <f>IFERROR(VLOOKUP($A33,[1]Morningstar!$A$2:$F$477,6,FALSE),"n/a")</f>
        <v>n/a</v>
      </c>
    </row>
    <row r="34" spans="1:26">
      <c r="A34" s="21" t="s">
        <v>51</v>
      </c>
      <c r="B34" s="22" t="s">
        <v>28</v>
      </c>
      <c r="C34" s="46" t="str">
        <f>VLOOKUP(A34,'[1]ETF List'!$A$3:$B$185,2,FALSE)</f>
        <v>SPDR S&amp;P/ASX 200 Financials ex A-REITs Fund</v>
      </c>
      <c r="D34" s="24"/>
      <c r="E34" s="7"/>
      <c r="F34" s="25">
        <f>_xlfn.IFNA(VLOOKUP(A34,'[1]ETF List'!$A$2:$I$180,6,FALSE),"n/a")</f>
        <v>0.4</v>
      </c>
      <c r="G34" s="26">
        <f>_xlfn.IFNA(VLOOKUP(A34,'[1]ETF List'!$A$2:$J$180,8,FALSE)/1000000,"n/a")</f>
        <v>62.907638970000001</v>
      </c>
      <c r="H34" s="25">
        <f>_xlfn.IFNA(VLOOKUP(A34,'[1]ETF List'!$A$2:$N$180,14,FALSE)/1000000,"n/a")</f>
        <v>4.070046920000002</v>
      </c>
      <c r="I34" s="26">
        <f>_xlfn.IFNA(VLOOKUP(A34,'[1]ETF List'!$A:$R,18,FALSE)/1000000,"n/a")</f>
        <v>2.0129999999999999</v>
      </c>
      <c r="J34" s="27">
        <f>_xlfn.IFNA(VLOOKUP(A34,[1]IRESS!$A$10:$F$875,5,FALSE),"n/a")</f>
        <v>2661776.6399999997</v>
      </c>
      <c r="K34" s="28">
        <f>_xlfn.IFNA(VLOOKUP(A34,[1]IRESS!$A$11:$G$684,7,FALSE),"n/a")</f>
        <v>136221</v>
      </c>
      <c r="L34" s="27">
        <f>_xlfn.IFNA(VLOOKUP(A34,[1]IRESS!$A$10:$F$875,4,FALSE),"n/a")</f>
        <v>132</v>
      </c>
      <c r="M34" s="29">
        <f t="shared" si="0"/>
        <v>4.23124549511288E-2</v>
      </c>
      <c r="N34" s="30">
        <f>_xlfn.IFNA(VLOOKUP(A34,[1]Spreads!$A$1:$G$279,2,FALSE),"n/a")</f>
        <v>1.2178229187254901E-3</v>
      </c>
      <c r="O34" s="28">
        <f>IFERROR(VLOOKUP(A34,[1]Spreads!$A$1:$G$279,5,FALSE)/1000,"n/a")</f>
        <v>1336.8077563387101</v>
      </c>
      <c r="P34" s="31">
        <f>IFERROR(VLOOKUP(A34,[1]Spreads!$A$1:$G$279,6,FALSE)/1000,"n/a")</f>
        <v>1229.7190041319</v>
      </c>
      <c r="Q34" s="9"/>
      <c r="R34" s="32">
        <f>_xlfn.IFNA(VLOOKUP($A34,[1]IRESS!$A$11:$AE$696,6,FALSE)/100,"n/a")</f>
        <v>20.02</v>
      </c>
      <c r="S34" s="33">
        <f>_xlfn.IFNA(VLOOKUP($A34,[1]IRESS!$A$11:$AE$696,21,FALSE)/100,"n/a")</f>
        <v>21.75</v>
      </c>
      <c r="T34" s="32">
        <f>_xlfn.IFNA(VLOOKUP($A34,[1]IRESS!$A$11:$AE$696,22,FALSE)/100,"n/a")</f>
        <v>19</v>
      </c>
      <c r="V34" s="34">
        <f>IFERROR((VLOOKUP($A34,[1]IRESS!$A$11:$AE$696,20,FALSE)/100)/R34,"n/a")</f>
        <v>4.7523226773226769E-2</v>
      </c>
      <c r="W34" s="35">
        <f>IFERROR(VLOOKUP($A34,[1]Morningstar!$A$2:$F$477,3,FALSE),"n/a")</f>
        <v>2.9399999999999999E-2</v>
      </c>
      <c r="X34" s="34">
        <f>IFERROR(VLOOKUP($A34,[1]Morningstar!$A$2:$F$477,4,FALSE),"n/a")</f>
        <v>1.67E-2</v>
      </c>
      <c r="Y34" s="35">
        <f>IFERROR(VLOOKUP($A34,[1]Morningstar!$A$2:$F$477,5,FALSE),"n/a")</f>
        <v>3.61E-2</v>
      </c>
      <c r="Z34" s="34">
        <f>IFERROR(VLOOKUP($A34,[1]Morningstar!$A$2:$F$477,6,FALSE),"n/a")</f>
        <v>7.6300000000000007E-2</v>
      </c>
    </row>
    <row r="35" spans="1:26">
      <c r="A35" s="21" t="s">
        <v>52</v>
      </c>
      <c r="B35" s="22" t="s">
        <v>28</v>
      </c>
      <c r="C35" s="46" t="str">
        <f>VLOOKUP(A35,'[1]ETF List'!$A$3:$B$185,2,FALSE)</f>
        <v xml:space="preserve">SPDR S&amp;P/ASX 200 Resource Fund </v>
      </c>
      <c r="D35" s="24"/>
      <c r="E35" s="7"/>
      <c r="F35" s="25">
        <f>_xlfn.IFNA(VLOOKUP(A35,'[1]ETF List'!$A$2:$I$180,6,FALSE),"n/a")</f>
        <v>0.4</v>
      </c>
      <c r="G35" s="26">
        <f>_xlfn.IFNA(VLOOKUP(A35,'[1]ETF List'!$A$2:$J$180,8,FALSE)/1000000,"n/a")</f>
        <v>73.43993184</v>
      </c>
      <c r="H35" s="25">
        <f>_xlfn.IFNA(VLOOKUP(A35,'[1]ETF List'!$A$2:$N$180,14,FALSE)/1000000,"n/a")</f>
        <v>4.9075439999999997</v>
      </c>
      <c r="I35" s="26">
        <f>_xlfn.IFNA(VLOOKUP(A35,'[1]ETF List'!$A:$R,18,FALSE)/1000000,"n/a")</f>
        <v>3.327</v>
      </c>
      <c r="J35" s="27">
        <f>_xlfn.IFNA(VLOOKUP(A35,[1]IRESS!$A$10:$F$875,5,FALSE),"n/a")</f>
        <v>6956634.2000000002</v>
      </c>
      <c r="K35" s="28">
        <f>_xlfn.IFNA(VLOOKUP(A35,[1]IRESS!$A$11:$G$684,7,FALSE),"n/a")</f>
        <v>629299</v>
      </c>
      <c r="L35" s="27">
        <f>_xlfn.IFNA(VLOOKUP(A35,[1]IRESS!$A$10:$F$875,4,FALSE),"n/a")</f>
        <v>285</v>
      </c>
      <c r="M35" s="29">
        <f t="shared" si="0"/>
        <v>9.4725499135212707E-2</v>
      </c>
      <c r="N35" s="30">
        <f>_xlfn.IFNA(VLOOKUP(A35,[1]Spreads!$A$1:$G$279,2,FALSE),"n/a")</f>
        <v>1.63699714613156E-3</v>
      </c>
      <c r="O35" s="28">
        <f>IFERROR(VLOOKUP(A35,[1]Spreads!$A$1:$G$279,5,FALSE)/1000,"n/a")</f>
        <v>521.330425021564</v>
      </c>
      <c r="P35" s="31">
        <f>IFERROR(VLOOKUP(A35,[1]Spreads!$A$1:$G$279,6,FALSE)/1000,"n/a")</f>
        <v>664.82725048782299</v>
      </c>
      <c r="Q35" s="9"/>
      <c r="R35" s="32">
        <f>_xlfn.IFNA(VLOOKUP($A35,[1]IRESS!$A$11:$AE$696,6,FALSE)/100,"n/a")</f>
        <v>11.1</v>
      </c>
      <c r="S35" s="33">
        <f>_xlfn.IFNA(VLOOKUP($A35,[1]IRESS!$A$11:$AE$696,21,FALSE)/100,"n/a")</f>
        <v>11.34</v>
      </c>
      <c r="T35" s="32">
        <f>_xlfn.IFNA(VLOOKUP($A35,[1]IRESS!$A$11:$AE$696,22,FALSE)/100,"n/a")</f>
        <v>8.14</v>
      </c>
      <c r="V35" s="34">
        <f>IFERROR((VLOOKUP($A35,[1]IRESS!$A$11:$AE$696,20,FALSE)/100)/R35,"n/a")</f>
        <v>2.1653333333333333E-2</v>
      </c>
      <c r="W35" s="35">
        <f>IFERROR(VLOOKUP($A35,[1]Morningstar!$A$2:$F$477,3,FALSE),"n/a")</f>
        <v>5.33E-2</v>
      </c>
      <c r="X35" s="34">
        <f>IFERROR(VLOOKUP($A35,[1]Morningstar!$A$2:$F$477,4,FALSE),"n/a")</f>
        <v>0.40210000000000001</v>
      </c>
      <c r="Y35" s="35">
        <f>IFERROR(VLOOKUP($A35,[1]Morningstar!$A$2:$F$477,5,FALSE),"n/a")</f>
        <v>0.14729999999999999</v>
      </c>
      <c r="Z35" s="34">
        <f>IFERROR(VLOOKUP($A35,[1]Morningstar!$A$2:$F$477,6,FALSE),"n/a")</f>
        <v>8.0100000000000005E-2</v>
      </c>
    </row>
    <row r="36" spans="1:26">
      <c r="A36" s="21" t="s">
        <v>53</v>
      </c>
      <c r="B36" s="22" t="s">
        <v>28</v>
      </c>
      <c r="C36" s="46" t="str">
        <f>VLOOKUP(A36,'[1]ETF List'!$A$3:$B$185,2,FALSE)</f>
        <v xml:space="preserve">BetaShares S&amp;P/ASX 200 Financials Sector ETF </v>
      </c>
      <c r="D36" s="24"/>
      <c r="E36" s="7"/>
      <c r="F36" s="25">
        <f>_xlfn.IFNA(VLOOKUP(A36,'[1]ETF List'!$A$2:$I$180,6,FALSE),"n/a")</f>
        <v>0.39</v>
      </c>
      <c r="G36" s="26">
        <f>_xlfn.IFNA(VLOOKUP(A36,'[1]ETF List'!$A$2:$J$180,8,FALSE)/1000000,"n/a")</f>
        <v>22.259540550000001</v>
      </c>
      <c r="H36" s="25">
        <f>_xlfn.IFNA(VLOOKUP(A36,'[1]ETF List'!$A$2:$N$180,14,FALSE)/1000000,"n/a")</f>
        <v>0.88253685000000148</v>
      </c>
      <c r="I36" s="26">
        <f>_xlfn.IFNA(VLOOKUP(A36,'[1]ETF List'!$A:$R,18,FALSE)/1000000,"n/a")</f>
        <v>5.2852556109428405E-15</v>
      </c>
      <c r="J36" s="27">
        <f>_xlfn.IFNA(VLOOKUP(A36,[1]IRESS!$A$10:$F$875,5,FALSE),"n/a")</f>
        <v>1346341.8</v>
      </c>
      <c r="K36" s="28">
        <f>_xlfn.IFNA(VLOOKUP(A36,[1]IRESS!$A$11:$G$684,7,FALSE),"n/a")</f>
        <v>123629</v>
      </c>
      <c r="L36" s="27">
        <f>_xlfn.IFNA(VLOOKUP(A36,[1]IRESS!$A$10:$F$875,4,FALSE),"n/a")</f>
        <v>65</v>
      </c>
      <c r="M36" s="29">
        <f t="shared" si="0"/>
        <v>6.0483809042500655E-2</v>
      </c>
      <c r="N36" s="30">
        <f>_xlfn.IFNA(VLOOKUP(A36,[1]Spreads!$A$1:$G$279,2,FALSE),"n/a")</f>
        <v>1.31310792684117E-3</v>
      </c>
      <c r="O36" s="28">
        <f>IFERROR(VLOOKUP(A36,[1]Spreads!$A$1:$G$279,5,FALSE)/1000,"n/a")</f>
        <v>782.41136783671595</v>
      </c>
      <c r="P36" s="31">
        <f>IFERROR(VLOOKUP(A36,[1]Spreads!$A$1:$G$279,6,FALSE)/1000,"n/a")</f>
        <v>1058.3146801313699</v>
      </c>
      <c r="Q36" s="9"/>
      <c r="R36" s="32">
        <f>_xlfn.IFNA(VLOOKUP($A36,[1]IRESS!$A$11:$AE$696,6,FALSE)/100,"n/a")</f>
        <v>11.3</v>
      </c>
      <c r="S36" s="33">
        <f>_xlfn.IFNA(VLOOKUP($A36,[1]IRESS!$A$11:$AE$696,21,FALSE)/100,"n/a")</f>
        <v>12.1</v>
      </c>
      <c r="T36" s="32">
        <f>_xlfn.IFNA(VLOOKUP($A36,[1]IRESS!$A$11:$AE$696,22,FALSE)/100,"n/a")</f>
        <v>10.63</v>
      </c>
      <c r="V36" s="34">
        <f>IFERROR((VLOOKUP($A36,[1]IRESS!$A$11:$AE$696,20,FALSE)/100)/R36,"n/a")</f>
        <v>4.2220176991150438E-2</v>
      </c>
      <c r="W36" s="35">
        <f>IFERROR(VLOOKUP($A36,[1]Morningstar!$A$2:$F$477,3,FALSE),"n/a")</f>
        <v>3.3700000000000001E-2</v>
      </c>
      <c r="X36" s="34">
        <f>IFERROR(VLOOKUP($A36,[1]Morningstar!$A$2:$F$477,4,FALSE),"n/a")</f>
        <v>1.4500000000000001E-2</v>
      </c>
      <c r="Y36" s="35">
        <f>IFERROR(VLOOKUP($A36,[1]Morningstar!$A$2:$F$477,5,FALSE),"n/a")</f>
        <v>3.3500000000000002E-2</v>
      </c>
      <c r="Z36" s="34">
        <f>IFERROR(VLOOKUP($A36,[1]Morningstar!$A$2:$F$477,6,FALSE),"n/a")</f>
        <v>7.4999999999999997E-2</v>
      </c>
    </row>
    <row r="37" spans="1:26" s="36" customFormat="1">
      <c r="A37" s="21" t="s">
        <v>54</v>
      </c>
      <c r="B37" s="22" t="s">
        <v>28</v>
      </c>
      <c r="C37" s="46" t="str">
        <f>VLOOKUP(A37,'[1]ETF List'!$A$3:$B$185,2,FALSE)</f>
        <v xml:space="preserve">BetaShares S&amp;P/ASX 200 Resources Sector ETF </v>
      </c>
      <c r="D37" s="24"/>
      <c r="E37" s="7"/>
      <c r="F37" s="25">
        <f>_xlfn.IFNA(VLOOKUP(A37,'[1]ETF List'!$A$2:$I$180,6,FALSE),"n/a")</f>
        <v>0.39</v>
      </c>
      <c r="G37" s="26">
        <f>_xlfn.IFNA(VLOOKUP(A37,'[1]ETF List'!$A$2:$J$180,8,FALSE)/1000000,"n/a")</f>
        <v>147.76513750000001</v>
      </c>
      <c r="H37" s="25">
        <f>_xlfn.IFNA(VLOOKUP(A37,'[1]ETF List'!$A$2:$N$180,14,FALSE)/1000000,"n/a")</f>
        <v>5.9106055</v>
      </c>
      <c r="I37" s="26">
        <f>_xlfn.IFNA(VLOOKUP(A37,'[1]ETF List'!$A:$R,18,FALSE)/1000000,"n/a")</f>
        <v>0</v>
      </c>
      <c r="J37" s="27">
        <f>_xlfn.IFNA(VLOOKUP(A37,[1]IRESS!$A$10:$F$875,5,FALSE),"n/a")</f>
        <v>3698626.0250000004</v>
      </c>
      <c r="K37" s="28">
        <f>_xlfn.IFNA(VLOOKUP(A37,[1]IRESS!$A$11:$G$684,7,FALSE),"n/a")</f>
        <v>602937</v>
      </c>
      <c r="L37" s="27">
        <f>_xlfn.IFNA(VLOOKUP(A37,[1]IRESS!$A$10:$F$875,4,FALSE),"n/a")</f>
        <v>359</v>
      </c>
      <c r="M37" s="29">
        <f t="shared" si="0"/>
        <v>2.5030437406116855E-2</v>
      </c>
      <c r="N37" s="30">
        <f>_xlfn.IFNA(VLOOKUP(A37,[1]Spreads!$A$1:$G$279,2,FALSE),"n/a")</f>
        <v>2.00984349604416E-3</v>
      </c>
      <c r="O37" s="28">
        <f>IFERROR(VLOOKUP(A37,[1]Spreads!$A$1:$G$279,5,FALSE)/1000,"n/a")</f>
        <v>415.53194604927</v>
      </c>
      <c r="P37" s="31">
        <f>IFERROR(VLOOKUP(A37,[1]Spreads!$A$1:$G$279,6,FALSE)/1000,"n/a")</f>
        <v>460.06067483810705</v>
      </c>
      <c r="Q37" s="9"/>
      <c r="R37" s="32">
        <f>_xlfn.IFNA(VLOOKUP($A37,[1]IRESS!$A$11:$AE$696,6,FALSE)/100,"n/a")</f>
        <v>6.25</v>
      </c>
      <c r="S37" s="33">
        <f>_xlfn.IFNA(VLOOKUP($A37,[1]IRESS!$A$11:$AE$696,21,FALSE)/100,"n/a")</f>
        <v>6.34</v>
      </c>
      <c r="T37" s="32">
        <f>_xlfn.IFNA(VLOOKUP($A37,[1]IRESS!$A$11:$AE$696,22,FALSE)/100,"n/a")</f>
        <v>4.4800000000000004</v>
      </c>
      <c r="U37" s="7"/>
      <c r="V37" s="34">
        <f>IFERROR((VLOOKUP($A37,[1]IRESS!$A$11:$AE$696,20,FALSE)/100)/R37,"n/a")</f>
        <v>1.1581600000000001E-2</v>
      </c>
      <c r="W37" s="35">
        <f>IFERROR(VLOOKUP($A37,[1]Morningstar!$A$2:$F$477,3,FALSE),"n/a")</f>
        <v>5.3900000000000003E-2</v>
      </c>
      <c r="X37" s="34">
        <f>IFERROR(VLOOKUP($A37,[1]Morningstar!$A$2:$F$477,4,FALSE),"n/a")</f>
        <v>0.40429999999999999</v>
      </c>
      <c r="Y37" s="35">
        <f>IFERROR(VLOOKUP($A37,[1]Morningstar!$A$2:$F$477,5,FALSE),"n/a")</f>
        <v>0.152</v>
      </c>
      <c r="Z37" s="34">
        <f>IFERROR(VLOOKUP($A37,[1]Morningstar!$A$2:$F$477,6,FALSE),"n/a")</f>
        <v>8.1900000000000001E-2</v>
      </c>
    </row>
    <row r="38" spans="1:26">
      <c r="A38" s="37" t="s">
        <v>55</v>
      </c>
      <c r="B38" s="38"/>
      <c r="C38" s="38"/>
      <c r="D38" s="38"/>
      <c r="E38" s="7"/>
      <c r="F38" s="39"/>
      <c r="G38" s="39"/>
      <c r="H38" s="39"/>
      <c r="I38" s="39"/>
      <c r="J38" s="39"/>
      <c r="K38" s="39"/>
      <c r="L38" s="39"/>
      <c r="M38" s="40"/>
      <c r="N38" s="40"/>
      <c r="O38" s="39"/>
      <c r="P38" s="41"/>
      <c r="Q38" s="9"/>
      <c r="R38" s="42"/>
      <c r="S38" s="42"/>
      <c r="T38" s="42"/>
      <c r="V38" s="43"/>
      <c r="W38" s="44"/>
      <c r="X38" s="44"/>
      <c r="Y38" s="44"/>
      <c r="Z38" s="38"/>
    </row>
    <row r="39" spans="1:26">
      <c r="A39" s="21" t="s">
        <v>56</v>
      </c>
      <c r="B39" s="22" t="s">
        <v>43</v>
      </c>
      <c r="C39" s="23" t="str">
        <f>VLOOKUP(A39,'[1]ETF List'!$A$3:$B$185,2,FALSE)</f>
        <v>Aurora Dividend Income Trust</v>
      </c>
      <c r="D39" s="24"/>
      <c r="E39" s="7"/>
      <c r="F39" s="25">
        <f>_xlfn.IFNA(VLOOKUP(A39,'[1]ETF List'!$A$2:$I$180,6,FALSE),"n/a")</f>
        <v>0.97375</v>
      </c>
      <c r="G39" s="26">
        <f>_xlfn.IFNA(VLOOKUP(A39,'[1]ETF List'!$A$2:$J$180,8,FALSE)/1000000,"n/a")</f>
        <v>6.9292916449999993</v>
      </c>
      <c r="H39" s="25">
        <f>_xlfn.IFNA(VLOOKUP(A39,'[1]ETF List'!$A$2:$N$180,14,FALSE)/1000000,"n/a")</f>
        <v>-0.36082328500000016</v>
      </c>
      <c r="I39" s="26">
        <f>_xlfn.IFNA(VLOOKUP(A39,'[1]ETF List'!$A:$R,18,FALSE)/1000000,"n/a")</f>
        <v>6.7455349999999987E-3</v>
      </c>
      <c r="J39" s="27">
        <f>_xlfn.IFNA(VLOOKUP(A39,[1]IRESS!$A$10:$F$875,5,FALSE),"n/a")</f>
        <v>74451.395000000004</v>
      </c>
      <c r="K39" s="28">
        <f>_xlfn.IFNA(VLOOKUP(A39,[1]IRESS!$A$11:$G$684,7,FALSE),"n/a")</f>
        <v>126170</v>
      </c>
      <c r="L39" s="27">
        <f>_xlfn.IFNA(VLOOKUP(A39,[1]IRESS!$A$10:$F$875,4,FALSE),"n/a")</f>
        <v>15</v>
      </c>
      <c r="M39" s="29">
        <f t="shared" si="0"/>
        <v>1.0744445293152329E-2</v>
      </c>
      <c r="N39" s="30">
        <f>_xlfn.IFNA(VLOOKUP(A39,[1]Spreads!$A$1:$G$279,2,FALSE),"n/a")</f>
        <v>3.2443880521204199E-2</v>
      </c>
      <c r="O39" s="28">
        <f>IFERROR(VLOOKUP(A39,[1]Spreads!$A$1:$G$279,5,FALSE)/1000,"n/a")</f>
        <v>26.387627826412899</v>
      </c>
      <c r="P39" s="31">
        <f>IFERROR(VLOOKUP(A39,[1]Spreads!$A$1:$G$279,6,FALSE)/1000,"n/a")</f>
        <v>202.298349903397</v>
      </c>
      <c r="Q39" s="9"/>
      <c r="R39" s="32">
        <f>_xlfn.IFNA(VLOOKUP($A39,[1]IRESS!$A$11:$AE$696,6,FALSE)/100,"n/a")</f>
        <v>0.56000000000000005</v>
      </c>
      <c r="S39" s="33">
        <f>_xlfn.IFNA(VLOOKUP($A39,[1]IRESS!$A$11:$AE$696,21,FALSE)/100,"n/a")</f>
        <v>0.67</v>
      </c>
      <c r="T39" s="32">
        <f>_xlfn.IFNA(VLOOKUP($A39,[1]IRESS!$A$11:$AE$696,22,FALSE)/100,"n/a")</f>
        <v>0.56000000000000005</v>
      </c>
      <c r="V39" s="34">
        <f>IFERROR((VLOOKUP($A39,[1]IRESS!$A$11:$AE$696,20,FALSE)/100)/R39,"n/a")</f>
        <v>6.7678571428571421E-2</v>
      </c>
      <c r="W39" s="35">
        <f>IFERROR(VLOOKUP($A39,[1]Morningstar!$A$2:$F$477,3,FALSE),"n/a")</f>
        <v>-7.2700000000000001E-2</v>
      </c>
      <c r="X39" s="34">
        <f>IFERROR(VLOOKUP($A39,[1]Morningstar!$A$2:$F$477,4,FALSE),"n/a")</f>
        <v>-0.14399999999999999</v>
      </c>
      <c r="Y39" s="35">
        <f>IFERROR(VLOOKUP($A39,[1]Morningstar!$A$2:$F$477,5,FALSE),"n/a")</f>
        <v>-7.1999999999999995E-2</v>
      </c>
      <c r="Z39" s="34">
        <f>IFERROR(VLOOKUP($A39,[1]Morningstar!$A$2:$F$477,6,FALSE),"n/a")</f>
        <v>-4.1300000000000003E-2</v>
      </c>
    </row>
    <row r="40" spans="1:26">
      <c r="A40" s="21" t="s">
        <v>57</v>
      </c>
      <c r="B40" s="22" t="s">
        <v>28</v>
      </c>
      <c r="C40" s="23" t="str">
        <f>VLOOKUP(A40,'[1]ETF List'!$A$3:$B$185,2,FALSE)</f>
        <v>iShares Edge MSCI Australia Multifactor ETF</v>
      </c>
      <c r="D40" s="24"/>
      <c r="E40" s="7"/>
      <c r="F40" s="25">
        <f>_xlfn.IFNA(VLOOKUP(A40,'[1]ETF List'!$A$2:$I$180,6,FALSE),"n/a")</f>
        <v>0.3</v>
      </c>
      <c r="G40" s="26">
        <f>_xlfn.IFNA(VLOOKUP(A40,'[1]ETF List'!$A$2:$J$180,8,FALSE)/1000000,"n/a")</f>
        <v>9.5509697500000001</v>
      </c>
      <c r="H40" s="25">
        <f>_xlfn.IFNA(VLOOKUP(A40,'[1]ETF List'!$A$2:$N$180,14,FALSE)/1000000,"n/a")</f>
        <v>0.26004320999999903</v>
      </c>
      <c r="I40" s="26">
        <f>_xlfn.IFNA(VLOOKUP(A40,'[1]ETF List'!$A:$R,18,FALSE)/1000000,"n/a")</f>
        <v>0</v>
      </c>
      <c r="J40" s="27">
        <f>_xlfn.IFNA(VLOOKUP(A40,[1]IRESS!$A$10:$F$875,5,FALSE),"n/a")</f>
        <v>568109.68999999994</v>
      </c>
      <c r="K40" s="28">
        <f>_xlfn.IFNA(VLOOKUP(A40,[1]IRESS!$A$11:$G$684,7,FALSE),"n/a")</f>
        <v>19414</v>
      </c>
      <c r="L40" s="27">
        <f>_xlfn.IFNA(VLOOKUP(A40,[1]IRESS!$A$10:$F$875,4,FALSE),"n/a")</f>
        <v>19</v>
      </c>
      <c r="M40" s="29">
        <f t="shared" si="0"/>
        <v>5.9481885595962646E-2</v>
      </c>
      <c r="N40" s="30">
        <f>_xlfn.IFNA(VLOOKUP(A40,[1]Spreads!$A$1:$G$279,2,FALSE),"n/a")</f>
        <v>2.7748515821675902E-3</v>
      </c>
      <c r="O40" s="28">
        <f>IFERROR(VLOOKUP(A40,[1]Spreads!$A$1:$G$279,5,FALSE)/1000,"n/a")</f>
        <v>847.91892872253402</v>
      </c>
      <c r="P40" s="31">
        <f>IFERROR(VLOOKUP(A40,[1]Spreads!$A$1:$G$279,6,FALSE)/1000,"n/a")</f>
        <v>860.75898935355804</v>
      </c>
      <c r="Q40" s="9"/>
      <c r="R40" s="32">
        <f>_xlfn.IFNA(VLOOKUP($A40,[1]IRESS!$A$11:$AE$696,6,FALSE)/100,"n/a")</f>
        <v>29.75</v>
      </c>
      <c r="S40" s="33">
        <f>_xlfn.IFNA(VLOOKUP($A40,[1]IRESS!$A$11:$AE$696,21,FALSE)/100,"n/a")</f>
        <v>29.78</v>
      </c>
      <c r="T40" s="32">
        <f>_xlfn.IFNA(VLOOKUP($A40,[1]IRESS!$A$11:$AE$696,22,FALSE)/100,"n/a")</f>
        <v>26</v>
      </c>
      <c r="V40" s="34">
        <f>IFERROR((VLOOKUP($A40,[1]IRESS!$A$11:$AE$696,20,FALSE)/100)/R40,"n/a")</f>
        <v>6.4575025210084042E-2</v>
      </c>
      <c r="W40" s="35">
        <f>IFERROR(VLOOKUP($A40,[1]Morningstar!$A$2:$F$477,3,FALSE),"n/a")</f>
        <v>3.2899999999999999E-2</v>
      </c>
      <c r="X40" s="34">
        <f>IFERROR(VLOOKUP($A40,[1]Morningstar!$A$2:$F$477,4,FALSE),"n/a")</f>
        <v>0.1545</v>
      </c>
      <c r="Y40" s="35" t="str">
        <f>IFERROR(VLOOKUP($A40,[1]Morningstar!$A$2:$F$477,5,FALSE),"n/a")</f>
        <v>n/a</v>
      </c>
      <c r="Z40" s="34" t="str">
        <f>IFERROR(VLOOKUP($A40,[1]Morningstar!$A$2:$F$477,6,FALSE),"n/a")</f>
        <v>n/a</v>
      </c>
    </row>
    <row r="41" spans="1:26">
      <c r="A41" s="21" t="s">
        <v>58</v>
      </c>
      <c r="B41" s="22" t="s">
        <v>43</v>
      </c>
      <c r="C41" s="23" t="str">
        <f>VLOOKUP(A41,'[1]ETF List'!$A$3:$B$185,2,FALSE)</f>
        <v>BetaShares Managed Risk Australian Share Fund (Managed Fund)</v>
      </c>
      <c r="D41" s="24"/>
      <c r="E41" s="7"/>
      <c r="F41" s="25">
        <f>_xlfn.IFNA(VLOOKUP(A41,'[1]ETF List'!$A$2:$I$180,6,FALSE),"n/a")</f>
        <v>0.49</v>
      </c>
      <c r="G41" s="26">
        <f>_xlfn.IFNA(VLOOKUP(A41,'[1]ETF List'!$A$2:$J$180,8,FALSE)/1000000,"n/a")</f>
        <v>21.706334550000001</v>
      </c>
      <c r="H41" s="25">
        <f>_xlfn.IFNA(VLOOKUP(A41,'[1]ETF List'!$A$2:$N$180,14,FALSE)/1000000,"n/a")</f>
        <v>-4.1431038899999972</v>
      </c>
      <c r="I41" s="26">
        <f>_xlfn.IFNA(VLOOKUP(A41,'[1]ETF List'!$A:$R,18,FALSE)/1000000,"n/a")</f>
        <v>-4.9649999999999999</v>
      </c>
      <c r="J41" s="27">
        <f>_xlfn.IFNA(VLOOKUP(A41,[1]IRESS!$A$10:$F$875,5,FALSE),"n/a")</f>
        <v>1145113.72</v>
      </c>
      <c r="K41" s="28">
        <f>_xlfn.IFNA(VLOOKUP(A41,[1]IRESS!$A$11:$G$684,7,FALSE),"n/a")</f>
        <v>70209</v>
      </c>
      <c r="L41" s="27">
        <f>_xlfn.IFNA(VLOOKUP(A41,[1]IRESS!$A$10:$F$875,4,FALSE),"n/a")</f>
        <v>55</v>
      </c>
      <c r="M41" s="29">
        <f t="shared" si="0"/>
        <v>5.2754817602311391E-2</v>
      </c>
      <c r="N41" s="30">
        <f>_xlfn.IFNA(VLOOKUP(A41,[1]Spreads!$A$1:$G$279,2,FALSE),"n/a")</f>
        <v>1.3630374241801E-3</v>
      </c>
      <c r="O41" s="28">
        <f>IFERROR(VLOOKUP(A41,[1]Spreads!$A$1:$G$279,5,FALSE)/1000,"n/a")</f>
        <v>1026.47592987141</v>
      </c>
      <c r="P41" s="31">
        <f>IFERROR(VLOOKUP(A41,[1]Spreads!$A$1:$G$279,6,FALSE)/1000,"n/a")</f>
        <v>802.46316140504905</v>
      </c>
      <c r="Q41" s="9"/>
      <c r="R41" s="32">
        <f>_xlfn.IFNA(VLOOKUP($A41,[1]IRESS!$A$11:$AE$696,6,FALSE)/100,"n/a")</f>
        <v>16.55</v>
      </c>
      <c r="S41" s="33">
        <f>_xlfn.IFNA(VLOOKUP($A41,[1]IRESS!$A$11:$AE$696,21,FALSE)/100,"n/a")</f>
        <v>16.600000000000001</v>
      </c>
      <c r="T41" s="32">
        <f>_xlfn.IFNA(VLOOKUP($A41,[1]IRESS!$A$11:$AE$696,22,FALSE)/100,"n/a")</f>
        <v>15.32</v>
      </c>
      <c r="V41" s="34">
        <f>IFERROR((VLOOKUP($A41,[1]IRESS!$A$11:$AE$696,20,FALSE)/100)/R41,"n/a")</f>
        <v>4.4144954682779451E-2</v>
      </c>
      <c r="W41" s="35">
        <f>IFERROR(VLOOKUP($A41,[1]Morningstar!$A$2:$F$477,3,FALSE),"n/a")</f>
        <v>3.2399999999999998E-2</v>
      </c>
      <c r="X41" s="34">
        <f>IFERROR(VLOOKUP($A41,[1]Morningstar!$A$2:$F$477,4,FALSE),"n/a")</f>
        <v>0.1052</v>
      </c>
      <c r="Y41" s="35" t="str">
        <f>IFERROR(VLOOKUP($A41,[1]Morningstar!$A$2:$F$477,5,FALSE),"n/a")</f>
        <v>n/a</v>
      </c>
      <c r="Z41" s="34" t="str">
        <f>IFERROR(VLOOKUP($A41,[1]Morningstar!$A$2:$F$477,6,FALSE),"n/a")</f>
        <v>n/a</v>
      </c>
    </row>
    <row r="42" spans="1:26">
      <c r="A42" s="21" t="s">
        <v>59</v>
      </c>
      <c r="B42" s="22" t="s">
        <v>43</v>
      </c>
      <c r="C42" s="23" t="str">
        <f>VLOOKUP(A42,'[1]ETF List'!$A$3:$B$185,2,FALSE)</f>
        <v>BetaShares Australian Strong Bear (Hedge Fund)</v>
      </c>
      <c r="D42" s="24"/>
      <c r="E42" s="7"/>
      <c r="F42" s="25">
        <f>_xlfn.IFNA(VLOOKUP(A42,'[1]ETF List'!$A$2:$I$180,6,FALSE),"n/a")</f>
        <v>1.38</v>
      </c>
      <c r="G42" s="26">
        <f>_xlfn.IFNA(VLOOKUP(A42,'[1]ETF List'!$A$2:$J$180,8,FALSE)/1000000,"n/a")</f>
        <v>89.245000000000005</v>
      </c>
      <c r="H42" s="25">
        <f>_xlfn.IFNA(VLOOKUP(A42,'[1]ETF List'!$A$2:$N$180,14,FALSE)/1000000,"n/a")</f>
        <v>-3.7549999999999999</v>
      </c>
      <c r="I42" s="26">
        <f>_xlfn.IFNA(VLOOKUP(A42,'[1]ETF List'!$A:$R,18,FALSE)/1000000,"n/a")</f>
        <v>3.4325000000000001</v>
      </c>
      <c r="J42" s="27">
        <f>_xlfn.IFNA(VLOOKUP(A42,[1]IRESS!$A$10:$F$875,5,FALSE),"n/a")</f>
        <v>40944734.639999993</v>
      </c>
      <c r="K42" s="28">
        <f>_xlfn.IFNA(VLOOKUP(A42,[1]IRESS!$A$11:$G$684,7,FALSE),"n/a")</f>
        <v>2881454</v>
      </c>
      <c r="L42" s="27">
        <f>_xlfn.IFNA(VLOOKUP(A42,[1]IRESS!$A$10:$F$875,4,FALSE),"n/a")</f>
        <v>1695</v>
      </c>
      <c r="M42" s="29">
        <f t="shared" si="0"/>
        <v>0.45879023631575994</v>
      </c>
      <c r="N42" s="30">
        <f>_xlfn.IFNA(VLOOKUP(A42,[1]Spreads!$A$1:$G$279,2,FALSE),"n/a")</f>
        <v>1.33376328022323E-3</v>
      </c>
      <c r="O42" s="28">
        <f>IFERROR(VLOOKUP(A42,[1]Spreads!$A$1:$G$279,5,FALSE)/1000,"n/a")</f>
        <v>1267.0549442539202</v>
      </c>
      <c r="P42" s="31">
        <f>IFERROR(VLOOKUP(A42,[1]Spreads!$A$1:$G$279,6,FALSE)/1000,"n/a")</f>
        <v>1324.3038929771599</v>
      </c>
      <c r="Q42" s="9"/>
      <c r="R42" s="32">
        <f>_xlfn.IFNA(VLOOKUP($A42,[1]IRESS!$A$11:$AE$696,6,FALSE)/100,"n/a")</f>
        <v>13.73</v>
      </c>
      <c r="S42" s="33">
        <f>_xlfn.IFNA(VLOOKUP($A42,[1]IRESS!$A$11:$AE$696,21,FALSE)/100,"n/a")</f>
        <v>18.309999999999999</v>
      </c>
      <c r="T42" s="32">
        <f>_xlfn.IFNA(VLOOKUP($A42,[1]IRESS!$A$11:$AE$696,22,FALSE)/100,"n/a")</f>
        <v>13.48</v>
      </c>
      <c r="V42" s="34">
        <f>IFERROR((VLOOKUP($A42,[1]IRESS!$A$11:$AE$696,20,FALSE)/100)/R42,"n/a")</f>
        <v>0</v>
      </c>
      <c r="W42" s="35">
        <f>IFERROR(VLOOKUP($A42,[1]Morningstar!$A$2:$F$477,3,FALSE),"n/a")</f>
        <v>-7.8799999999999995E-2</v>
      </c>
      <c r="X42" s="34">
        <f>IFERROR(VLOOKUP($A42,[1]Morningstar!$A$2:$F$477,4,FALSE),"n/a")</f>
        <v>-0.22470000000000001</v>
      </c>
      <c r="Y42" s="35">
        <f>IFERROR(VLOOKUP($A42,[1]Morningstar!$A$2:$F$477,5,FALSE),"n/a")</f>
        <v>-0.19620000000000001</v>
      </c>
      <c r="Z42" s="34" t="str">
        <f>IFERROR(VLOOKUP($A42,[1]Morningstar!$A$2:$F$477,6,FALSE),"n/a")</f>
        <v>n/a</v>
      </c>
    </row>
    <row r="43" spans="1:26">
      <c r="A43" s="21" t="s">
        <v>60</v>
      </c>
      <c r="B43" s="22" t="s">
        <v>43</v>
      </c>
      <c r="C43" s="23" t="str">
        <f>VLOOKUP(A43,'[1]ETF List'!$A$3:$B$185,2,FALSE)</f>
        <v>BetaShares Australian Equities Bear (Hedge Fund)</v>
      </c>
      <c r="D43" s="24"/>
      <c r="E43" s="7"/>
      <c r="F43" s="25">
        <f>_xlfn.IFNA(VLOOKUP(A43,'[1]ETF List'!$A$2:$I$180,6,FALSE),"n/a")</f>
        <v>1.38</v>
      </c>
      <c r="G43" s="26">
        <f>_xlfn.IFNA(VLOOKUP(A43,'[1]ETF List'!$A$2:$J$180,8,FALSE)/1000000,"n/a")</f>
        <v>51.195885509999997</v>
      </c>
      <c r="H43" s="25">
        <f>_xlfn.IFNA(VLOOKUP(A43,'[1]ETF List'!$A$2:$N$180,14,FALSE)/1000000,"n/a")</f>
        <v>0.2009505</v>
      </c>
      <c r="I43" s="26">
        <f>_xlfn.IFNA(VLOOKUP(A43,'[1]ETF List'!$A:$R,18,FALSE)/1000000,"n/a")</f>
        <v>2.0234999999999999</v>
      </c>
      <c r="J43" s="27">
        <f>_xlfn.IFNA(VLOOKUP(A43,[1]IRESS!$A$10:$F$875,5,FALSE),"n/a")</f>
        <v>11329900.839999998</v>
      </c>
      <c r="K43" s="28">
        <f>_xlfn.IFNA(VLOOKUP(A43,[1]IRESS!$A$11:$G$684,7,FALSE),"n/a")</f>
        <v>831740</v>
      </c>
      <c r="L43" s="27">
        <f>_xlfn.IFNA(VLOOKUP(A43,[1]IRESS!$A$10:$F$875,4,FALSE),"n/a")</f>
        <v>528</v>
      </c>
      <c r="M43" s="29">
        <f t="shared" si="0"/>
        <v>0.22130491009452213</v>
      </c>
      <c r="N43" s="30">
        <f>_xlfn.IFNA(VLOOKUP(A43,[1]Spreads!$A$1:$G$279,2,FALSE),"n/a")</f>
        <v>1.3233901877599099E-3</v>
      </c>
      <c r="O43" s="28">
        <f>IFERROR(VLOOKUP(A43,[1]Spreads!$A$1:$G$279,5,FALSE)/1000,"n/a")</f>
        <v>1043.86028492886</v>
      </c>
      <c r="P43" s="31">
        <f>IFERROR(VLOOKUP(A43,[1]Spreads!$A$1:$G$279,6,FALSE)/1000,"n/a")</f>
        <v>992.267677695629</v>
      </c>
      <c r="Q43" s="9"/>
      <c r="R43" s="32">
        <f>_xlfn.IFNA(VLOOKUP($A43,[1]IRESS!$A$11:$AE$696,6,FALSE)/100,"n/a")</f>
        <v>13.49</v>
      </c>
      <c r="S43" s="33">
        <f>_xlfn.IFNA(VLOOKUP($A43,[1]IRESS!$A$11:$AE$696,21,FALSE)/100,"n/a")</f>
        <v>15.2</v>
      </c>
      <c r="T43" s="32">
        <f>_xlfn.IFNA(VLOOKUP($A43,[1]IRESS!$A$11:$AE$696,22,FALSE)/100,"n/a")</f>
        <v>13.42</v>
      </c>
      <c r="V43" s="34">
        <f>IFERROR((VLOOKUP($A43,[1]IRESS!$A$11:$AE$696,20,FALSE)/100)/R43,"n/a")</f>
        <v>0</v>
      </c>
      <c r="W43" s="35">
        <f>IFERROR(VLOOKUP($A43,[1]Morningstar!$A$2:$F$477,3,FALSE),"n/a")</f>
        <v>-3.27E-2</v>
      </c>
      <c r="X43" s="34">
        <f>IFERROR(VLOOKUP($A43,[1]Morningstar!$A$2:$F$477,4,FALSE),"n/a")</f>
        <v>-9.8199999999999996E-2</v>
      </c>
      <c r="Y43" s="35">
        <f>IFERROR(VLOOKUP($A43,[1]Morningstar!$A$2:$F$477,5,FALSE),"n/a")</f>
        <v>-7.9200000000000007E-2</v>
      </c>
      <c r="Z43" s="34">
        <f>IFERROR(VLOOKUP($A43,[1]Morningstar!$A$2:$F$477,6,FALSE),"n/a")</f>
        <v>-7.8899999999999998E-2</v>
      </c>
    </row>
    <row r="44" spans="1:26">
      <c r="A44" s="21" t="s">
        <v>61</v>
      </c>
      <c r="B44" s="22" t="s">
        <v>28</v>
      </c>
      <c r="C44" s="23" t="str">
        <f>VLOOKUP(A44,'[1]ETF List'!$A$3:$B$185,2,FALSE)</f>
        <v>UBS IQ Morningstar Australia Dividend Yield ETF</v>
      </c>
      <c r="D44" s="24"/>
      <c r="E44" s="7"/>
      <c r="F44" s="25">
        <f>_xlfn.IFNA(VLOOKUP(A44,'[1]ETF List'!$A$2:$I$180,6,FALSE),"n/a")</f>
        <v>0.3</v>
      </c>
      <c r="G44" s="26">
        <f>_xlfn.IFNA(VLOOKUP(A44,'[1]ETF List'!$A$2:$J$180,8,FALSE)/1000000,"n/a")</f>
        <v>11.124123040000001</v>
      </c>
      <c r="H44" s="25">
        <f>_xlfn.IFNA(VLOOKUP(A44,'[1]ETF List'!$A$2:$N$180,14,FALSE)/1000000,"n/a")</f>
        <v>-0.83079142999999966</v>
      </c>
      <c r="I44" s="26">
        <f>_xlfn.IFNA(VLOOKUP(A44,'[1]ETF List'!$A:$R,18,FALSE)/1000000,"n/a")</f>
        <v>-1.016</v>
      </c>
      <c r="J44" s="27">
        <f>_xlfn.IFNA(VLOOKUP(A44,[1]IRESS!$A$10:$F$875,5,FALSE),"n/a")</f>
        <v>740850.62</v>
      </c>
      <c r="K44" s="28">
        <f>_xlfn.IFNA(VLOOKUP(A44,[1]IRESS!$A$11:$G$684,7,FALSE),"n/a")</f>
        <v>36406</v>
      </c>
      <c r="L44" s="27">
        <f>_xlfn.IFNA(VLOOKUP(A44,[1]IRESS!$A$10:$F$875,4,FALSE),"n/a")</f>
        <v>25</v>
      </c>
      <c r="M44" s="29">
        <f t="shared" si="0"/>
        <v>6.6598563979925196E-2</v>
      </c>
      <c r="N44" s="30">
        <f>_xlfn.IFNA(VLOOKUP(A44,[1]Spreads!$A$1:$G$279,2,FALSE),"n/a")</f>
        <v>2.1670372460382403E-3</v>
      </c>
      <c r="O44" s="28">
        <f>IFERROR(VLOOKUP(A44,[1]Spreads!$A$1:$G$279,5,FALSE)/1000,"n/a")</f>
        <v>341.67730777100002</v>
      </c>
      <c r="P44" s="31">
        <f>IFERROR(VLOOKUP(A44,[1]Spreads!$A$1:$G$279,6,FALSE)/1000,"n/a")</f>
        <v>477.54630083798401</v>
      </c>
      <c r="Q44" s="9"/>
      <c r="R44" s="32">
        <f>_xlfn.IFNA(VLOOKUP($A44,[1]IRESS!$A$11:$AE$696,6,FALSE)/100,"n/a")</f>
        <v>20.329999999999998</v>
      </c>
      <c r="S44" s="33">
        <f>_xlfn.IFNA(VLOOKUP($A44,[1]IRESS!$A$11:$AE$696,21,FALSE)/100,"n/a")</f>
        <v>21.49</v>
      </c>
      <c r="T44" s="32">
        <f>_xlfn.IFNA(VLOOKUP($A44,[1]IRESS!$A$11:$AE$696,22,FALSE)/100,"n/a")</f>
        <v>19.22</v>
      </c>
      <c r="V44" s="34">
        <f>IFERROR((VLOOKUP($A44,[1]IRESS!$A$11:$AE$696,20,FALSE)/100)/R44,"n/a")</f>
        <v>5.4660206591244473E-2</v>
      </c>
      <c r="W44" s="35">
        <f>IFERROR(VLOOKUP($A44,[1]Morningstar!$A$2:$F$477,3,FALSE),"n/a")</f>
        <v>6.7000000000000004E-2</v>
      </c>
      <c r="X44" s="34">
        <f>IFERROR(VLOOKUP($A44,[1]Morningstar!$A$2:$F$477,4,FALSE),"n/a")</f>
        <v>7.1900000000000006E-2</v>
      </c>
      <c r="Y44" s="35">
        <f>IFERROR(VLOOKUP($A44,[1]Morningstar!$A$2:$F$477,5,FALSE),"n/a")</f>
        <v>6.4399999999999999E-2</v>
      </c>
      <c r="Z44" s="34" t="str">
        <f>IFERROR(VLOOKUP($A44,[1]Morningstar!$A$2:$F$477,6,FALSE),"n/a")</f>
        <v>n/a</v>
      </c>
    </row>
    <row r="45" spans="1:26">
      <c r="A45" s="21" t="s">
        <v>62</v>
      </c>
      <c r="B45" s="22" t="s">
        <v>28</v>
      </c>
      <c r="C45" s="23" t="str">
        <f>VLOOKUP(A45,'[1]ETF List'!$A$3:$B$185,2,FALSE)</f>
        <v>eInvest Income Generator Fund (Managed Fund)</v>
      </c>
      <c r="D45" s="24"/>
      <c r="E45" s="7"/>
      <c r="F45" s="25">
        <f>_xlfn.IFNA(VLOOKUP(A45,'[1]ETF List'!$A$2:$I$180,6,FALSE),"n/a")</f>
        <v>0.8</v>
      </c>
      <c r="G45" s="26">
        <f>_xlfn.IFNA(VLOOKUP(A45,'[1]ETF List'!$A$2:$J$180,8,FALSE)/1000000,"n/a")</f>
        <v>17.739791370000003</v>
      </c>
      <c r="H45" s="25">
        <f>_xlfn.IFNA(VLOOKUP(A45,'[1]ETF List'!$A$2:$N$180,14,FALSE)/1000000,"n/a")</f>
        <v>0.93625126999999952</v>
      </c>
      <c r="I45" s="26">
        <f>_xlfn.IFNA(VLOOKUP(A45,'[1]ETF List'!$A:$R,18,FALSE)/1000000,"n/a")</f>
        <v>0.30295202000000004</v>
      </c>
      <c r="J45" s="27">
        <f>_xlfn.IFNA(VLOOKUP(A45,[1]IRESS!$A$10:$F$875,5,FALSE),"n/a")</f>
        <v>1238231.73</v>
      </c>
      <c r="K45" s="28">
        <f>_xlfn.IFNA(VLOOKUP(A45,[1]IRESS!$A$11:$G$684,7,FALSE),"n/a")</f>
        <v>305995</v>
      </c>
      <c r="L45" s="27">
        <f>_xlfn.IFNA(VLOOKUP(A45,[1]IRESS!$A$10:$F$875,4,FALSE),"n/a")</f>
        <v>36</v>
      </c>
      <c r="M45" s="29">
        <f>IFERROR(+J45/(G45*1000000),"n/a")</f>
        <v>6.9799678258561162E-2</v>
      </c>
      <c r="N45" s="30">
        <f>_xlfn.IFNA(VLOOKUP(A45,[1]Spreads!$A$1:$G$279,2,FALSE),"n/a")</f>
        <v>5.8839233945403805E-3</v>
      </c>
      <c r="O45" s="28">
        <f>IFERROR(VLOOKUP(A45,[1]Spreads!$A$1:$G$279,5,FALSE)/1000,"n/a")</f>
        <v>511.59906479051597</v>
      </c>
      <c r="P45" s="31">
        <f>IFERROR(VLOOKUP(A45,[1]Spreads!$A$1:$G$279,6,FALSE)/1000,"n/a")</f>
        <v>508.31187149691795</v>
      </c>
      <c r="Q45" s="47"/>
      <c r="R45" s="32">
        <f>_xlfn.IFNA(VLOOKUP($A45,[1]IRESS!$A$11:$AE$696,6,FALSE)/100,"n/a")</f>
        <v>4.13</v>
      </c>
      <c r="S45" s="33">
        <f>_xlfn.IFNA(VLOOKUP($A45,[1]IRESS!$A$11:$AE$696,21,FALSE)/100,"n/a")</f>
        <v>4.13</v>
      </c>
      <c r="T45" s="32">
        <f>_xlfn.IFNA(VLOOKUP($A45,[1]IRESS!$A$11:$AE$696,22,FALSE)/100,"n/a")</f>
        <v>3.95</v>
      </c>
      <c r="V45" s="34">
        <f>IFERROR((VLOOKUP($A45,[1]IRESS!$A$11:$AE$696,20,FALSE)/100)/R45,"n/a")</f>
        <v>0</v>
      </c>
      <c r="W45" s="35">
        <f>IFERROR(VLOOKUP($A45,[1]Morningstar!$A$2:$F$477,3,FALSE),"n/a")</f>
        <v>3.2599999999999997E-2</v>
      </c>
      <c r="X45" s="34" t="str">
        <f>IFERROR(VLOOKUP($A45,[1]Morningstar!$A$2:$F$477,4,FALSE),"n/a")</f>
        <v>n/a</v>
      </c>
      <c r="Y45" s="35" t="str">
        <f>IFERROR(VLOOKUP($A45,[1]Morningstar!$A$2:$F$477,5,FALSE),"n/a")</f>
        <v>n/a</v>
      </c>
      <c r="Z45" s="34" t="str">
        <f>IFERROR(VLOOKUP($A45,[1]Morningstar!$A$2:$F$477,6,FALSE),"n/a")</f>
        <v>n/a</v>
      </c>
    </row>
    <row r="46" spans="1:26">
      <c r="A46" s="21" t="s">
        <v>63</v>
      </c>
      <c r="B46" s="22" t="s">
        <v>43</v>
      </c>
      <c r="C46" s="23" t="str">
        <f>VLOOKUP(A46,'[1]ETF List'!$A$3:$B$185,2,FALSE)</f>
        <v>BetaShares Legg Mason Equity Income Fund (Managed Fund)</v>
      </c>
      <c r="D46" s="24"/>
      <c r="E46" s="7"/>
      <c r="F46" s="25">
        <f>_xlfn.IFNA(VLOOKUP(A46,'[1]ETF List'!$A$2:$I$180,6,FALSE),"n/a")</f>
        <v>0.85</v>
      </c>
      <c r="G46" s="26">
        <f>_xlfn.IFNA(VLOOKUP(A46,'[1]ETF List'!$A$2:$J$180,8,FALSE)/1000000,"n/a")</f>
        <v>12.89217528</v>
      </c>
      <c r="H46" s="25">
        <f>_xlfn.IFNA(VLOOKUP(A46,'[1]ETF List'!$A$2:$N$180,14,FALSE)/1000000,"n/a")</f>
        <v>2.2434229199999982</v>
      </c>
      <c r="I46" s="26">
        <f>_xlfn.IFNA(VLOOKUP(A46,'[1]ETF List'!$A:$R,18,FALSE)/1000000,"n/a")</f>
        <v>1.9663178399999999</v>
      </c>
      <c r="J46" s="27">
        <f>_xlfn.IFNA(VLOOKUP(A46,[1]IRESS!$A$10:$F$875,5,FALSE),"n/a")</f>
        <v>2437664.2799999998</v>
      </c>
      <c r="K46" s="28">
        <f>_xlfn.IFNA(VLOOKUP(A46,[1]IRESS!$A$11:$G$684,7,FALSE),"n/a")</f>
        <v>296734</v>
      </c>
      <c r="L46" s="27">
        <f>_xlfn.IFNA(VLOOKUP(A46,[1]IRESS!$A$10:$F$875,4,FALSE),"n/a")</f>
        <v>44</v>
      </c>
      <c r="M46" s="29">
        <f t="shared" si="0"/>
        <v>0.18908091358186993</v>
      </c>
      <c r="N46" s="30">
        <f>_xlfn.IFNA(VLOOKUP(A46,[1]Spreads!$A$1:$G$279,2,FALSE),"n/a")</f>
        <v>3.4281338866091198E-3</v>
      </c>
      <c r="O46" s="28">
        <f>IFERROR(VLOOKUP(A46,[1]Spreads!$A$1:$G$279,5,FALSE)/1000,"n/a")</f>
        <v>3644.3430328959103</v>
      </c>
      <c r="P46" s="31">
        <f>IFERROR(VLOOKUP(A46,[1]Spreads!$A$1:$G$279,6,FALSE)/1000,"n/a")</f>
        <v>3680.1601153206602</v>
      </c>
      <c r="Q46" s="9"/>
      <c r="R46" s="32">
        <f>_xlfn.IFNA(VLOOKUP($A46,[1]IRESS!$A$11:$AE$696,6,FALSE)/100,"n/a")</f>
        <v>8.2799999999999994</v>
      </c>
      <c r="S46" s="33">
        <f>_xlfn.IFNA(VLOOKUP($A46,[1]IRESS!$A$11:$AE$696,21,FALSE)/100,"n/a")</f>
        <v>8.36</v>
      </c>
      <c r="T46" s="32">
        <f>_xlfn.IFNA(VLOOKUP($A46,[1]IRESS!$A$11:$AE$696,22,FALSE)/100,"n/a")</f>
        <v>7.94</v>
      </c>
      <c r="V46" s="34">
        <f>IFERROR((VLOOKUP($A46,[1]IRESS!$A$11:$AE$696,20,FALSE)/100)/R46,"n/a")</f>
        <v>9.4016908212560396E-3</v>
      </c>
      <c r="W46" s="35">
        <f>IFERROR(VLOOKUP($A46,[1]Morningstar!$A$2:$F$477,3,FALSE),"n/a")</f>
        <v>2.76E-2</v>
      </c>
      <c r="X46" s="34" t="str">
        <f>IFERROR(VLOOKUP($A46,[1]Morningstar!$A$2:$F$477,4,FALSE),"n/a")</f>
        <v>n/a</v>
      </c>
      <c r="Y46" s="35" t="str">
        <f>IFERROR(VLOOKUP($A46,[1]Morningstar!$A$2:$F$477,5,FALSE),"n/a")</f>
        <v>n/a</v>
      </c>
      <c r="Z46" s="34" t="str">
        <f>IFERROR(VLOOKUP($A46,[1]Morningstar!$A$2:$F$477,6,FALSE),"n/a")</f>
        <v>n/a</v>
      </c>
    </row>
    <row r="47" spans="1:26">
      <c r="A47" s="21" t="s">
        <v>28</v>
      </c>
      <c r="B47" s="22" t="s">
        <v>28</v>
      </c>
      <c r="C47" s="23" t="str">
        <f>VLOOKUP(A47,'[1]ETF List'!$A$3:$B$185,2,FALSE)</f>
        <v>UBS IQ Morningstar Australia Quality ETF</v>
      </c>
      <c r="D47" s="24"/>
      <c r="E47" s="7"/>
      <c r="F47" s="25">
        <f>_xlfn.IFNA(VLOOKUP(A47,'[1]ETF List'!$A$2:$I$180,6,FALSE),"n/a")</f>
        <v>0.3</v>
      </c>
      <c r="G47" s="26">
        <f>_xlfn.IFNA(VLOOKUP(A47,'[1]ETF List'!$A$2:$J$180,8,FALSE)/1000000,"n/a")</f>
        <v>8.3738531999999992</v>
      </c>
      <c r="H47" s="25">
        <f>_xlfn.IFNA(VLOOKUP(A47,'[1]ETF List'!$A$2:$N$180,14,FALSE)/1000000,"n/a")</f>
        <v>6.1572449999999258E-2</v>
      </c>
      <c r="I47" s="26">
        <f>_xlfn.IFNA(VLOOKUP(A47,'[1]ETF List'!$A:$R,18,FALSE)/1000000,"n/a")</f>
        <v>0</v>
      </c>
      <c r="J47" s="27">
        <f>_xlfn.IFNA(VLOOKUP(A47,[1]IRESS!$A$10:$F$875,5,FALSE),"n/a")</f>
        <v>276027.32</v>
      </c>
      <c r="K47" s="28">
        <f>_xlfn.IFNA(VLOOKUP(A47,[1]IRESS!$A$11:$G$684,7,FALSE),"n/a")</f>
        <v>13328</v>
      </c>
      <c r="L47" s="27">
        <f>_xlfn.IFNA(VLOOKUP(A47,[1]IRESS!$A$10:$F$875,4,FALSE),"n/a")</f>
        <v>13</v>
      </c>
      <c r="M47" s="29">
        <f t="shared" si="0"/>
        <v>3.2962999637968338E-2</v>
      </c>
      <c r="N47" s="30">
        <f>_xlfn.IFNA(VLOOKUP(A47,[1]Spreads!$A$1:$G$279,2,FALSE),"n/a")</f>
        <v>1.3432431242748999E-3</v>
      </c>
      <c r="O47" s="28">
        <f>IFERROR(VLOOKUP(A47,[1]Spreads!$A$1:$G$279,5,FALSE)/1000,"n/a")</f>
        <v>458.37497046777702</v>
      </c>
      <c r="P47" s="31">
        <f>IFERROR(VLOOKUP(A47,[1]Spreads!$A$1:$G$279,6,FALSE)/1000,"n/a")</f>
        <v>580.62145783320193</v>
      </c>
      <c r="Q47" s="9"/>
      <c r="R47" s="32">
        <f>_xlfn.IFNA(VLOOKUP($A47,[1]IRESS!$A$11:$AE$696,6,FALSE)/100,"n/a")</f>
        <v>21.07</v>
      </c>
      <c r="S47" s="33">
        <f>_xlfn.IFNA(VLOOKUP($A47,[1]IRESS!$A$11:$AE$696,21,FALSE)/100,"n/a")</f>
        <v>21.49</v>
      </c>
      <c r="T47" s="32">
        <f>_xlfn.IFNA(VLOOKUP($A47,[1]IRESS!$A$11:$AE$696,22,FALSE)/100,"n/a")</f>
        <v>19.61</v>
      </c>
      <c r="V47" s="34">
        <f>IFERROR((VLOOKUP($A47,[1]IRESS!$A$11:$AE$696,20,FALSE)/100)/R47,"n/a")</f>
        <v>3.060242050308495E-2</v>
      </c>
      <c r="W47" s="35">
        <f>IFERROR(VLOOKUP($A47,[1]Morningstar!$A$2:$F$477,3,FALSE),"n/a")</f>
        <v>5.4600000000000003E-2</v>
      </c>
      <c r="X47" s="34">
        <f>IFERROR(VLOOKUP($A47,[1]Morningstar!$A$2:$F$477,4,FALSE),"n/a")</f>
        <v>7.6799999999999993E-2</v>
      </c>
      <c r="Y47" s="35">
        <f>IFERROR(VLOOKUP($A47,[1]Morningstar!$A$2:$F$477,5,FALSE),"n/a")</f>
        <v>5.74E-2</v>
      </c>
      <c r="Z47" s="34">
        <f>IFERROR(VLOOKUP($A47,[1]Morningstar!$A$2:$F$477,6,FALSE),"n/a")</f>
        <v>7.7100000000000002E-2</v>
      </c>
    </row>
    <row r="48" spans="1:26">
      <c r="A48" s="21" t="s">
        <v>64</v>
      </c>
      <c r="B48" s="22" t="s">
        <v>28</v>
      </c>
      <c r="C48" s="23" t="str">
        <f>VLOOKUP(A48,'[1]ETF List'!$A$3:$B$185,2,FALSE)</f>
        <v>BetaShares Australian Sustainability Leaders ETF</v>
      </c>
      <c r="D48" s="24"/>
      <c r="E48" s="7"/>
      <c r="F48" s="25">
        <f>_xlfn.IFNA(VLOOKUP(A48,'[1]ETF List'!$A$2:$I$180,6,FALSE),"n/a")</f>
        <v>0.49</v>
      </c>
      <c r="G48" s="26">
        <f>_xlfn.IFNA(VLOOKUP(A48,'[1]ETF List'!$A$2:$J$180,8,FALSE)/1000000,"n/a")</f>
        <v>164.18257384</v>
      </c>
      <c r="H48" s="25">
        <f>_xlfn.IFNA(VLOOKUP(A48,'[1]ETF List'!$A$2:$N$180,14,FALSE)/1000000,"n/a")</f>
        <v>35.117014039999994</v>
      </c>
      <c r="I48" s="26">
        <f>_xlfn.IFNA(VLOOKUP(A48,'[1]ETF List'!$A:$R,18,FALSE)/1000000,"n/a")</f>
        <v>31.88</v>
      </c>
      <c r="J48" s="27">
        <f>_xlfn.IFNA(VLOOKUP(A48,[1]IRESS!$A$10:$F$875,5,FALSE),"n/a")</f>
        <v>41734986.980000004</v>
      </c>
      <c r="K48" s="28">
        <f>_xlfn.IFNA(VLOOKUP(A48,[1]IRESS!$A$11:$G$684,7,FALSE),"n/a")</f>
        <v>2617005</v>
      </c>
      <c r="L48" s="27">
        <f>_xlfn.IFNA(VLOOKUP(A48,[1]IRESS!$A$10:$F$875,4,FALSE),"n/a")</f>
        <v>290</v>
      </c>
      <c r="M48" s="29">
        <f t="shared" si="0"/>
        <v>0.25419863998886866</v>
      </c>
      <c r="N48" s="30">
        <f>_xlfn.IFNA(VLOOKUP(A48,[1]Spreads!$A$1:$G$279,2,FALSE),"n/a")</f>
        <v>1.37130668042271E-3</v>
      </c>
      <c r="O48" s="28">
        <f>IFERROR(VLOOKUP(A48,[1]Spreads!$A$1:$G$279,5,FALSE)/1000,"n/a")</f>
        <v>2402.4799245570598</v>
      </c>
      <c r="P48" s="31">
        <f>IFERROR(VLOOKUP(A48,[1]Spreads!$A$1:$G$279,6,FALSE)/1000,"n/a")</f>
        <v>1970.66197628743</v>
      </c>
      <c r="Q48" s="9"/>
      <c r="R48" s="32">
        <f>_xlfn.IFNA(VLOOKUP($A48,[1]IRESS!$A$11:$AE$696,6,FALSE)/100,"n/a")</f>
        <v>15.94</v>
      </c>
      <c r="S48" s="33">
        <f>_xlfn.IFNA(VLOOKUP($A48,[1]IRESS!$A$11:$AE$696,21,FALSE)/100,"n/a")</f>
        <v>16.28</v>
      </c>
      <c r="T48" s="32">
        <f>_xlfn.IFNA(VLOOKUP($A48,[1]IRESS!$A$11:$AE$696,22,FALSE)/100,"n/a")</f>
        <v>14.43</v>
      </c>
      <c r="V48" s="34">
        <f>IFERROR((VLOOKUP($A48,[1]IRESS!$A$11:$AE$696,20,FALSE)/100)/R48,"n/a")</f>
        <v>1.1856461731493099E-2</v>
      </c>
      <c r="W48" s="35">
        <f>IFERROR(VLOOKUP($A48,[1]Morningstar!$A$2:$F$477,3,FALSE),"n/a")</f>
        <v>2.4400000000000002E-2</v>
      </c>
      <c r="X48" s="34" t="str">
        <f>IFERROR(VLOOKUP($A48,[1]Morningstar!$A$2:$F$477,4,FALSE),"n/a")</f>
        <v>n/a</v>
      </c>
      <c r="Y48" s="35" t="str">
        <f>IFERROR(VLOOKUP($A48,[1]Morningstar!$A$2:$F$477,5,FALSE),"n/a")</f>
        <v>n/a</v>
      </c>
      <c r="Z48" s="34" t="str">
        <f>IFERROR(VLOOKUP($A48,[1]Morningstar!$A$2:$F$477,6,FALSE),"n/a")</f>
        <v>n/a</v>
      </c>
    </row>
    <row r="49" spans="1:26">
      <c r="A49" s="21" t="s">
        <v>65</v>
      </c>
      <c r="B49" s="22" t="s">
        <v>28</v>
      </c>
      <c r="C49" s="23" t="str">
        <f>VLOOKUP(A49,'[1]ETF List'!$A$3:$B$185,2,FALSE)</f>
        <v>VanEck Vectors S&amp;P/ASX Franked Dividend ETF</v>
      </c>
      <c r="D49" s="24"/>
      <c r="E49" s="7"/>
      <c r="F49" s="25">
        <f>_xlfn.IFNA(VLOOKUP(A49,'[1]ETF List'!$A$2:$I$180,6,FALSE),"n/a")</f>
        <v>0.35</v>
      </c>
      <c r="G49" s="26">
        <f>_xlfn.IFNA(VLOOKUP(A49,'[1]ETF List'!$A$2:$J$180,8,FALSE)/1000000,"n/a")</f>
        <v>3.9065933399999997</v>
      </c>
      <c r="H49" s="25">
        <f>_xlfn.IFNA(VLOOKUP(A49,'[1]ETF List'!$A$2:$N$180,14,FALSE)/1000000,"n/a")</f>
        <v>0.14217543999999993</v>
      </c>
      <c r="I49" s="26">
        <f>_xlfn.IFNA(VLOOKUP(A49,'[1]ETF List'!$A:$R,18,FALSE)/1000000,"n/a")</f>
        <v>0</v>
      </c>
      <c r="J49" s="27">
        <f>_xlfn.IFNA(VLOOKUP(A49,[1]IRESS!$A$10:$F$875,5,FALSE),"n/a")</f>
        <v>190992.25</v>
      </c>
      <c r="K49" s="28">
        <f>_xlfn.IFNA(VLOOKUP(A49,[1]IRESS!$A$11:$G$684,7,FALSE),"n/a")</f>
        <v>8046</v>
      </c>
      <c r="L49" s="27">
        <f>_xlfn.IFNA(VLOOKUP(A49,[1]IRESS!$A$10:$F$875,4,FALSE),"n/a")</f>
        <v>9</v>
      </c>
      <c r="M49" s="29">
        <f t="shared" si="0"/>
        <v>4.8889718836207303E-2</v>
      </c>
      <c r="N49" s="30">
        <f>_xlfn.IFNA(VLOOKUP(A49,[1]Spreads!$A$1:$G$279,2,FALSE),"n/a")</f>
        <v>1.7540781497663099E-3</v>
      </c>
      <c r="O49" s="28">
        <f>IFERROR(VLOOKUP(A49,[1]Spreads!$A$1:$G$279,5,FALSE)/1000,"n/a")</f>
        <v>1358.06347913023</v>
      </c>
      <c r="P49" s="31">
        <f>IFERROR(VLOOKUP(A49,[1]Spreads!$A$1:$G$279,6,FALSE)/1000,"n/a")</f>
        <v>627.8579391207769</v>
      </c>
      <c r="Q49" s="9"/>
      <c r="R49" s="32">
        <f>_xlfn.IFNA(VLOOKUP($A49,[1]IRESS!$A$11:$AE$696,6,FALSE)/100,"n/a")</f>
        <v>24.06</v>
      </c>
      <c r="S49" s="33">
        <f>_xlfn.IFNA(VLOOKUP($A49,[1]IRESS!$A$11:$AE$696,21,FALSE)/100,"n/a")</f>
        <v>24.56</v>
      </c>
      <c r="T49" s="32">
        <f>_xlfn.IFNA(VLOOKUP($A49,[1]IRESS!$A$11:$AE$696,22,FALSE)/100,"n/a")</f>
        <v>22.46</v>
      </c>
      <c r="V49" s="34">
        <f>IFERROR((VLOOKUP($A49,[1]IRESS!$A$11:$AE$696,20,FALSE)/100)/R49,"n/a")</f>
        <v>4.7335827098919363E-2</v>
      </c>
      <c r="W49" s="35">
        <f>IFERROR(VLOOKUP($A49,[1]Morningstar!$A$2:$F$477,3,FALSE),"n/a")</f>
        <v>2.1499999999999998E-2</v>
      </c>
      <c r="X49" s="34">
        <f>IFERROR(VLOOKUP($A49,[1]Morningstar!$A$2:$F$477,4,FALSE),"n/a")</f>
        <v>9.2299999999999993E-2</v>
      </c>
      <c r="Y49" s="35" t="str">
        <f>IFERROR(VLOOKUP($A49,[1]Morningstar!$A$2:$F$477,5,FALSE),"n/a")</f>
        <v>n/a</v>
      </c>
      <c r="Z49" s="34" t="str">
        <f>IFERROR(VLOOKUP($A49,[1]Morningstar!$A$2:$F$477,6,FALSE),"n/a")</f>
        <v>n/a</v>
      </c>
    </row>
    <row r="50" spans="1:26">
      <c r="A50" s="21" t="s">
        <v>66</v>
      </c>
      <c r="B50" s="22" t="s">
        <v>43</v>
      </c>
      <c r="C50" s="23" t="str">
        <f>VLOOKUP(A50,'[1]ETF List'!$A$3:$B$185,2,FALSE)</f>
        <v>BetaShares Geared Australian Equity Fund (Hedge Fund)</v>
      </c>
      <c r="D50" s="24"/>
      <c r="E50" s="7"/>
      <c r="F50" s="25">
        <f>_xlfn.IFNA(VLOOKUP(A50,'[1]ETF List'!$A$2:$I$180,6,FALSE),"n/a")</f>
        <v>0.8</v>
      </c>
      <c r="G50" s="26">
        <f>_xlfn.IFNA(VLOOKUP(A50,'[1]ETF List'!$A$2:$J$180,8,FALSE)/1000000,"n/a")</f>
        <v>75.228322980000002</v>
      </c>
      <c r="H50" s="25">
        <f>_xlfn.IFNA(VLOOKUP(A50,'[1]ETF List'!$A$2:$N$180,14,FALSE)/1000000,"n/a")</f>
        <v>4.9808013600000143</v>
      </c>
      <c r="I50" s="26">
        <f>_xlfn.IFNA(VLOOKUP(A50,'[1]ETF List'!$A:$R,18,FALSE)/1000000,"n/a")</f>
        <v>1.1534430086612701E-14</v>
      </c>
      <c r="J50" s="27">
        <f>_xlfn.IFNA(VLOOKUP(A50,[1]IRESS!$A$10:$F$875,5,FALSE),"n/a")</f>
        <v>13718932.069999998</v>
      </c>
      <c r="K50" s="28">
        <f>_xlfn.IFNA(VLOOKUP(A50,[1]IRESS!$A$11:$G$684,7,FALSE),"n/a")</f>
        <v>573241</v>
      </c>
      <c r="L50" s="27">
        <f>_xlfn.IFNA(VLOOKUP(A50,[1]IRESS!$A$10:$F$875,4,FALSE),"n/a")</f>
        <v>545</v>
      </c>
      <c r="M50" s="29">
        <f t="shared" si="0"/>
        <v>0.18236392260993611</v>
      </c>
      <c r="N50" s="30">
        <f>_xlfn.IFNA(VLOOKUP(A50,[1]Spreads!$A$1:$G$279,2,FALSE),"n/a")</f>
        <v>1.5027934335678399E-3</v>
      </c>
      <c r="O50" s="28">
        <f>IFERROR(VLOOKUP(A50,[1]Spreads!$A$1:$G$279,5,FALSE)/1000,"n/a")</f>
        <v>884.10641710226002</v>
      </c>
      <c r="P50" s="31">
        <f>IFERROR(VLOOKUP(A50,[1]Spreads!$A$1:$G$279,6,FALSE)/1000,"n/a")</f>
        <v>879.16057670787109</v>
      </c>
      <c r="Q50" s="9"/>
      <c r="R50" s="32">
        <f>_xlfn.IFNA(VLOOKUP($A50,[1]IRESS!$A$11:$AE$696,6,FALSE)/100,"n/a")</f>
        <v>24.7</v>
      </c>
      <c r="S50" s="33">
        <f>_xlfn.IFNA(VLOOKUP($A50,[1]IRESS!$A$11:$AE$696,21,FALSE)/100,"n/a")</f>
        <v>25.05</v>
      </c>
      <c r="T50" s="32">
        <f>_xlfn.IFNA(VLOOKUP($A50,[1]IRESS!$A$11:$AE$696,22,FALSE)/100,"n/a")</f>
        <v>20.28</v>
      </c>
      <c r="V50" s="34">
        <f>IFERROR((VLOOKUP($A50,[1]IRESS!$A$11:$AE$696,20,FALSE)/100)/R50,"n/a")</f>
        <v>6.6750688259109306E-2</v>
      </c>
      <c r="W50" s="35">
        <f>IFERROR(VLOOKUP($A50,[1]Morningstar!$A$2:$F$477,3,FALSE),"n/a")</f>
        <v>6.9199999999999998E-2</v>
      </c>
      <c r="X50" s="34">
        <f>IFERROR(VLOOKUP($A50,[1]Morningstar!$A$2:$F$477,4,FALSE),"n/a")</f>
        <v>0.24060000000000001</v>
      </c>
      <c r="Y50" s="35">
        <f>IFERROR(VLOOKUP($A50,[1]Morningstar!$A$2:$F$477,5,FALSE),"n/a")</f>
        <v>0.13250000000000001</v>
      </c>
      <c r="Z50" s="34" t="str">
        <f>IFERROR(VLOOKUP($A50,[1]Morningstar!$A$2:$F$477,6,FALSE),"n/a")</f>
        <v>n/a</v>
      </c>
    </row>
    <row r="51" spans="1:26">
      <c r="A51" s="21" t="s">
        <v>67</v>
      </c>
      <c r="B51" s="22" t="s">
        <v>43</v>
      </c>
      <c r="C51" s="23" t="str">
        <f>VLOOKUP(A51,'[1]ETF List'!$A$3:$B$185,2,FALSE)</f>
        <v>BetaShares Australian Dividend Harvester Fund (Managed Fund)</v>
      </c>
      <c r="D51" s="24"/>
      <c r="E51" s="7"/>
      <c r="F51" s="25">
        <f>_xlfn.IFNA(VLOOKUP(A51,'[1]ETF List'!$A$2:$I$180,6,FALSE),"n/a")</f>
        <v>0.9</v>
      </c>
      <c r="G51" s="26">
        <f>_xlfn.IFNA(VLOOKUP(A51,'[1]ETF List'!$A$2:$J$180,8,FALSE)/1000000,"n/a")</f>
        <v>199.07879115</v>
      </c>
      <c r="H51" s="25">
        <f>_xlfn.IFNA(VLOOKUP(A51,'[1]ETF List'!$A$2:$N$180,14,FALSE)/1000000,"n/a")</f>
        <v>-8.0556420499999817</v>
      </c>
      <c r="I51" s="26">
        <f>_xlfn.IFNA(VLOOKUP(A51,'[1]ETF List'!$A:$R,18,FALSE)/1000000,"n/a")</f>
        <v>-12.67328865</v>
      </c>
      <c r="J51" s="27">
        <f>_xlfn.IFNA(VLOOKUP(A51,[1]IRESS!$A$10:$F$875,5,FALSE),"n/a")</f>
        <v>21463958.630000003</v>
      </c>
      <c r="K51" s="28">
        <f>_xlfn.IFNA(VLOOKUP(A51,[1]IRESS!$A$11:$G$684,7,FALSE),"n/a")</f>
        <v>1357181</v>
      </c>
      <c r="L51" s="27">
        <f>_xlfn.IFNA(VLOOKUP(A51,[1]IRESS!$A$10:$F$875,4,FALSE),"n/a")</f>
        <v>614</v>
      </c>
      <c r="M51" s="29">
        <f t="shared" si="0"/>
        <v>0.10781640026047547</v>
      </c>
      <c r="N51" s="30">
        <f>_xlfn.IFNA(VLOOKUP(A51,[1]Spreads!$A$1:$G$279,2,FALSE),"n/a")</f>
        <v>1.1057931817390699E-3</v>
      </c>
      <c r="O51" s="28">
        <f>IFERROR(VLOOKUP(A51,[1]Spreads!$A$1:$G$279,5,FALSE)/1000,"n/a")</f>
        <v>1332.5808300645501</v>
      </c>
      <c r="P51" s="31">
        <f>IFERROR(VLOOKUP(A51,[1]Spreads!$A$1:$G$279,6,FALSE)/1000,"n/a")</f>
        <v>1426.6733104444299</v>
      </c>
      <c r="Q51" s="9"/>
      <c r="R51" s="32">
        <f>_xlfn.IFNA(VLOOKUP($A51,[1]IRESS!$A$11:$AE$696,6,FALSE)/100,"n/a")</f>
        <v>16.05</v>
      </c>
      <c r="S51" s="33">
        <f>_xlfn.IFNA(VLOOKUP($A51,[1]IRESS!$A$11:$AE$696,21,FALSE)/100,"n/a")</f>
        <v>18.579999999999998</v>
      </c>
      <c r="T51" s="32">
        <f>_xlfn.IFNA(VLOOKUP($A51,[1]IRESS!$A$11:$AE$696,22,FALSE)/100,"n/a")</f>
        <v>15.19</v>
      </c>
      <c r="V51" s="34">
        <f>IFERROR((VLOOKUP($A51,[1]IRESS!$A$11:$AE$696,20,FALSE)/100)/R51,"n/a")</f>
        <v>0.10963563862928348</v>
      </c>
      <c r="W51" s="35">
        <f>IFERROR(VLOOKUP($A51,[1]Morningstar!$A$2:$F$477,3,FALSE),"n/a")</f>
        <v>2.4199999999999999E-2</v>
      </c>
      <c r="X51" s="34">
        <f>IFERROR(VLOOKUP($A51,[1]Morningstar!$A$2:$F$477,4,FALSE),"n/a")</f>
        <v>-4.2999999999999997E-2</v>
      </c>
      <c r="Y51" s="35">
        <f>IFERROR(VLOOKUP($A51,[1]Morningstar!$A$2:$F$477,5,FALSE),"n/a")</f>
        <v>-8.6E-3</v>
      </c>
      <c r="Z51" s="34" t="str">
        <f>IFERROR(VLOOKUP($A51,[1]Morningstar!$A$2:$F$477,6,FALSE),"n/a")</f>
        <v>n/a</v>
      </c>
    </row>
    <row r="52" spans="1:26">
      <c r="A52" s="21" t="s">
        <v>68</v>
      </c>
      <c r="B52" s="22" t="s">
        <v>28</v>
      </c>
      <c r="C52" s="23" t="str">
        <f>VLOOKUP(A52,'[1]ETF List'!$A$3:$B$185,2,FALSE)</f>
        <v>iShares S&amp;P/ASX High Dividend Yield ETF</v>
      </c>
      <c r="D52" s="24"/>
      <c r="E52" s="7"/>
      <c r="F52" s="25">
        <f>_xlfn.IFNA(VLOOKUP(A52,'[1]ETF List'!$A$2:$I$180,6,FALSE),"n/a")</f>
        <v>0.3</v>
      </c>
      <c r="G52" s="26">
        <f>_xlfn.IFNA(VLOOKUP(A52,'[1]ETF List'!$A$2:$J$180,8,FALSE)/1000000,"n/a")</f>
        <v>257.47066752000001</v>
      </c>
      <c r="H52" s="25">
        <f>_xlfn.IFNA(VLOOKUP(A52,'[1]ETF List'!$A$2:$N$180,14,FALSE)/1000000,"n/a")</f>
        <v>4.1398210499999823</v>
      </c>
      <c r="I52" s="26">
        <f>_xlfn.IFNA(VLOOKUP(A52,'[1]ETF List'!$A:$R,18,FALSE)/1000000,"n/a")</f>
        <v>-4.2240000000000002</v>
      </c>
      <c r="J52" s="27">
        <f>_xlfn.IFNA(VLOOKUP(A52,[1]IRESS!$A$10:$F$875,5,FALSE),"n/a")</f>
        <v>10484307.809999999</v>
      </c>
      <c r="K52" s="28">
        <f>_xlfn.IFNA(VLOOKUP(A52,[1]IRESS!$A$11:$G$684,7,FALSE),"n/a")</f>
        <v>753221</v>
      </c>
      <c r="L52" s="27">
        <f>_xlfn.IFNA(VLOOKUP(A52,[1]IRESS!$A$10:$F$875,4,FALSE),"n/a")</f>
        <v>324</v>
      </c>
      <c r="M52" s="29">
        <f t="shared" si="0"/>
        <v>4.0720397049444829E-2</v>
      </c>
      <c r="N52" s="30">
        <f>_xlfn.IFNA(VLOOKUP(A52,[1]Spreads!$A$1:$G$279,2,FALSE),"n/a")</f>
        <v>1.38489959735615E-3</v>
      </c>
      <c r="O52" s="28">
        <f>IFERROR(VLOOKUP(A52,[1]Spreads!$A$1:$G$279,5,FALSE)/1000,"n/a")</f>
        <v>1269.2718053603101</v>
      </c>
      <c r="P52" s="31">
        <f>IFERROR(VLOOKUP(A52,[1]Spreads!$A$1:$G$279,6,FALSE)/1000,"n/a")</f>
        <v>1590.3565447746598</v>
      </c>
      <c r="Q52" s="9"/>
      <c r="R52" s="32">
        <f>_xlfn.IFNA(VLOOKUP($A52,[1]IRESS!$A$11:$AE$696,6,FALSE)/100,"n/a")</f>
        <v>14.05</v>
      </c>
      <c r="S52" s="33">
        <f>_xlfn.IFNA(VLOOKUP($A52,[1]IRESS!$A$11:$AE$696,21,FALSE)/100,"n/a")</f>
        <v>14.41</v>
      </c>
      <c r="T52" s="32">
        <f>_xlfn.IFNA(VLOOKUP($A52,[1]IRESS!$A$11:$AE$696,22,FALSE)/100,"n/a")</f>
        <v>13.05</v>
      </c>
      <c r="V52" s="34">
        <f>IFERROR((VLOOKUP($A52,[1]IRESS!$A$11:$AE$696,20,FALSE)/100)/R52,"n/a")</f>
        <v>4.9702989323843413E-2</v>
      </c>
      <c r="W52" s="35">
        <f>IFERROR(VLOOKUP($A52,[1]Morningstar!$A$2:$F$477,3,FALSE),"n/a")</f>
        <v>3.39E-2</v>
      </c>
      <c r="X52" s="34">
        <f>IFERROR(VLOOKUP($A52,[1]Morningstar!$A$2:$F$477,4,FALSE),"n/a")</f>
        <v>5.5899999999999998E-2</v>
      </c>
      <c r="Y52" s="35">
        <f>IFERROR(VLOOKUP($A52,[1]Morningstar!$A$2:$F$477,5,FALSE),"n/a")</f>
        <v>2.7099999999999999E-2</v>
      </c>
      <c r="Z52" s="34">
        <f>IFERROR(VLOOKUP($A52,[1]Morningstar!$A$2:$F$477,6,FALSE),"n/a")</f>
        <v>3.8300000000000001E-2</v>
      </c>
    </row>
    <row r="53" spans="1:26">
      <c r="A53" s="21" t="s">
        <v>69</v>
      </c>
      <c r="B53" s="22" t="s">
        <v>28</v>
      </c>
      <c r="C53" s="23" t="str">
        <f>VLOOKUP(A53,'[1]ETF List'!$A$3:$B$185,2,FALSE)</f>
        <v>InvestSMART Australian Equity Income Fund (Managed Fund)</v>
      </c>
      <c r="D53" s="24"/>
      <c r="E53" s="7"/>
      <c r="F53" s="25">
        <f>_xlfn.IFNA(VLOOKUP(A53,'[1]ETF List'!$A$2:$I$180,6,FALSE),"n/a")</f>
        <v>1.24</v>
      </c>
      <c r="G53" s="26">
        <f>_xlfn.IFNA(VLOOKUP(A53,'[1]ETF List'!$A$2:$J$180,8,FALSE)/1000000,"n/a")</f>
        <v>34.254256679999997</v>
      </c>
      <c r="H53" s="25">
        <f>_xlfn.IFNA(VLOOKUP(A53,'[1]ETF List'!$A$2:$N$180,14,FALSE)/1000000,"n/a")</f>
        <v>34.254256679999997</v>
      </c>
      <c r="I53" s="26">
        <f>_xlfn.IFNA(VLOOKUP(A53,'[1]ETF List'!$A:$R,18,FALSE)/1000000,"n/a")</f>
        <v>34.254256679999997</v>
      </c>
      <c r="J53" s="27">
        <f>_xlfn.IFNA(VLOOKUP(A53,[1]IRESS!$A$10:$F$875,5,FALSE),"n/a")</f>
        <v>3769546.88</v>
      </c>
      <c r="K53" s="28">
        <f>_xlfn.IFNA(VLOOKUP(A53,[1]IRESS!$A$11:$G$684,7,FALSE),"n/a")</f>
        <v>1495349</v>
      </c>
      <c r="L53" s="27">
        <f>_xlfn.IFNA(VLOOKUP(A53,[1]IRESS!$A$10:$F$875,4,FALSE),"n/a")</f>
        <v>210</v>
      </c>
      <c r="M53" s="29">
        <f t="shared" si="0"/>
        <v>0.11004608610295495</v>
      </c>
      <c r="N53" s="30">
        <f>_xlfn.IFNA(VLOOKUP(A53,[1]Spreads!$A$1:$G$279,2,FALSE),"n/a")</f>
        <v>4.63491539173969E-3</v>
      </c>
      <c r="O53" s="28">
        <f>IFERROR(VLOOKUP(A53,[1]Spreads!$A$1:$G$279,5,FALSE)/1000,"n/a")</f>
        <v>659.38949945741797</v>
      </c>
      <c r="P53" s="31">
        <f>IFERROR(VLOOKUP(A53,[1]Spreads!$A$1:$G$279,6,FALSE)/1000,"n/a")</f>
        <v>483.49597979514704</v>
      </c>
      <c r="Q53" s="9"/>
      <c r="R53" s="32">
        <f>_xlfn.IFNA(VLOOKUP($A53,[1]IRESS!$A$11:$AE$696,6,FALSE)/100,"n/a")</f>
        <v>2.52</v>
      </c>
      <c r="S53" s="33">
        <f>_xlfn.IFNA(VLOOKUP($A53,[1]IRESS!$A$11:$AE$696,21,FALSE)/100,"n/a")</f>
        <v>2.58</v>
      </c>
      <c r="T53" s="32">
        <f>_xlfn.IFNA(VLOOKUP($A53,[1]IRESS!$A$11:$AE$696,22,FALSE)/100,"n/a")</f>
        <v>2.5</v>
      </c>
      <c r="V53" s="34">
        <f>IFERROR((VLOOKUP($A53,[1]IRESS!$A$11:$AE$696,20,FALSE)/100)/R53,"n/a")</f>
        <v>0</v>
      </c>
      <c r="W53" s="35" t="str">
        <f>IFERROR(VLOOKUP($A53,[1]Morningstar!$A$2:$F$477,3,FALSE),"n/a")</f>
        <v>n/a</v>
      </c>
      <c r="X53" s="34" t="str">
        <f>IFERROR(VLOOKUP($A53,[1]Morningstar!$A$2:$F$477,4,FALSE),"n/a")</f>
        <v>n/a</v>
      </c>
      <c r="Y53" s="35" t="str">
        <f>IFERROR(VLOOKUP($A53,[1]Morningstar!$A$2:$F$477,5,FALSE),"n/a")</f>
        <v>n/a</v>
      </c>
      <c r="Z53" s="34" t="str">
        <f>IFERROR(VLOOKUP($A53,[1]Morningstar!$A$2:$F$477,6,FALSE),"n/a")</f>
        <v>n/a</v>
      </c>
    </row>
    <row r="54" spans="1:26">
      <c r="A54" s="21" t="s">
        <v>70</v>
      </c>
      <c r="B54" s="22" t="s">
        <v>28</v>
      </c>
      <c r="C54" s="23" t="str">
        <f>VLOOKUP(A54,'[1]ETF List'!$A$3:$B$185,2,FALSE)</f>
        <v>iShares Edge MSCI Australia Minimum Volatility ETF</v>
      </c>
      <c r="D54" s="24"/>
      <c r="E54" s="7"/>
      <c r="F54" s="25">
        <f>_xlfn.IFNA(VLOOKUP(A54,'[1]ETF List'!$A$2:$I$180,6,FALSE),"n/a")</f>
        <v>0.3</v>
      </c>
      <c r="G54" s="26">
        <f>_xlfn.IFNA(VLOOKUP(A54,'[1]ETF List'!$A$2:$J$180,8,FALSE)/1000000,"n/a")</f>
        <v>2.2816814999999999</v>
      </c>
      <c r="H54" s="25">
        <f>_xlfn.IFNA(VLOOKUP(A54,'[1]ETF List'!$A$2:$N$180,14,FALSE)/1000000,"n/a")</f>
        <v>-4.3031368700000003</v>
      </c>
      <c r="I54" s="26">
        <f>_xlfn.IFNA(VLOOKUP(A54,'[1]ETF List'!$A:$R,18,FALSE)/1000000,"n/a")</f>
        <v>-4.5599999999999996</v>
      </c>
      <c r="J54" s="27">
        <f>_xlfn.IFNA(VLOOKUP(A54,[1]IRESS!$A$10:$F$875,5,FALSE),"n/a")</f>
        <v>147349.02999999997</v>
      </c>
      <c r="K54" s="28">
        <f>_xlfn.IFNA(VLOOKUP(A54,[1]IRESS!$A$11:$G$684,7,FALSE),"n/a")</f>
        <v>5197</v>
      </c>
      <c r="L54" s="27">
        <f>_xlfn.IFNA(VLOOKUP(A54,[1]IRESS!$A$10:$F$875,4,FALSE),"n/a")</f>
        <v>20</v>
      </c>
      <c r="M54" s="29">
        <f t="shared" si="0"/>
        <v>6.4579140427794141E-2</v>
      </c>
      <c r="N54" s="30">
        <f>_xlfn.IFNA(VLOOKUP(A54,[1]Spreads!$A$1:$G$279,2,FALSE),"n/a")</f>
        <v>1.6444209544805698E-3</v>
      </c>
      <c r="O54" s="28">
        <f>IFERROR(VLOOKUP(A54,[1]Spreads!$A$1:$G$279,5,FALSE)/1000,"n/a")</f>
        <v>813.91133406303106</v>
      </c>
      <c r="P54" s="31">
        <f>IFERROR(VLOOKUP(A54,[1]Spreads!$A$1:$G$279,6,FALSE)/1000,"n/a")</f>
        <v>901.55141719453809</v>
      </c>
      <c r="Q54" s="9"/>
      <c r="R54" s="32">
        <f>_xlfn.IFNA(VLOOKUP($A54,[1]IRESS!$A$11:$AE$696,6,FALSE)/100,"n/a")</f>
        <v>28.5</v>
      </c>
      <c r="S54" s="33">
        <f>_xlfn.IFNA(VLOOKUP($A54,[1]IRESS!$A$11:$AE$696,21,FALSE)/100,"n/a")</f>
        <v>28.56</v>
      </c>
      <c r="T54" s="32">
        <f>_xlfn.IFNA(VLOOKUP($A54,[1]IRESS!$A$11:$AE$696,22,FALSE)/100,"n/a")</f>
        <v>26</v>
      </c>
      <c r="V54" s="34">
        <f>IFERROR((VLOOKUP($A54,[1]IRESS!$A$11:$AE$696,20,FALSE)/100)/R54,"n/a")</f>
        <v>6.5279684210526309E-2</v>
      </c>
      <c r="W54" s="35">
        <f>IFERROR(VLOOKUP($A54,[1]Morningstar!$A$2:$F$477,3,FALSE),"n/a")</f>
        <v>3.7100000000000001E-2</v>
      </c>
      <c r="X54" s="34">
        <f>IFERROR(VLOOKUP($A54,[1]Morningstar!$A$2:$F$477,4,FALSE),"n/a")</f>
        <v>0.1022</v>
      </c>
      <c r="Y54" s="35" t="str">
        <f>IFERROR(VLOOKUP($A54,[1]Morningstar!$A$2:$F$477,5,FALSE),"n/a")</f>
        <v>n/a</v>
      </c>
      <c r="Z54" s="34" t="str">
        <f>IFERROR(VLOOKUP($A54,[1]Morningstar!$A$2:$F$477,6,FALSE),"n/a")</f>
        <v>n/a</v>
      </c>
    </row>
    <row r="55" spans="1:26">
      <c r="A55" s="21" t="s">
        <v>71</v>
      </c>
      <c r="B55" s="22" t="s">
        <v>28</v>
      </c>
      <c r="C55" s="23" t="str">
        <f>VLOOKUP(A55,'[1]ETF List'!$A$3:$B$185,2,FALSE)</f>
        <v>Russell Australian Responsible Investment ETF</v>
      </c>
      <c r="D55" s="24"/>
      <c r="E55" s="7"/>
      <c r="F55" s="25">
        <f>_xlfn.IFNA(VLOOKUP(A55,'[1]ETF List'!$A$2:$I$180,6,FALSE),"n/a")</f>
        <v>0.45</v>
      </c>
      <c r="G55" s="26">
        <f>_xlfn.IFNA(VLOOKUP(A55,'[1]ETF List'!$A$2:$J$180,8,FALSE)/1000000,"n/a")</f>
        <v>70.737094380000016</v>
      </c>
      <c r="H55" s="25">
        <f>_xlfn.IFNA(VLOOKUP(A55,'[1]ETF List'!$A$2:$N$180,14,FALSE)/1000000,"n/a")</f>
        <v>1.7544790400000065</v>
      </c>
      <c r="I55" s="26">
        <f>_xlfn.IFNA(VLOOKUP(A55,'[1]ETF List'!$A:$R,18,FALSE)/1000000,"n/a")</f>
        <v>1.8652500000000116</v>
      </c>
      <c r="J55" s="27">
        <f>_xlfn.IFNA(VLOOKUP(A55,[1]IRESS!$A$10:$F$875,5,FALSE),"n/a")</f>
        <v>2598383.9999999995</v>
      </c>
      <c r="K55" s="28">
        <f>_xlfn.IFNA(VLOOKUP(A55,[1]IRESS!$A$11:$G$684,7,FALSE),"n/a")</f>
        <v>102687</v>
      </c>
      <c r="L55" s="27">
        <f>_xlfn.IFNA(VLOOKUP(A55,[1]IRESS!$A$10:$F$875,4,FALSE),"n/a")</f>
        <v>88</v>
      </c>
      <c r="M55" s="29">
        <f t="shared" si="0"/>
        <v>3.6732976138961378E-2</v>
      </c>
      <c r="N55" s="30">
        <f>_xlfn.IFNA(VLOOKUP(A55,[1]Spreads!$A$1:$G$279,2,FALSE),"n/a")</f>
        <v>3.2799103097469902E-3</v>
      </c>
      <c r="O55" s="28">
        <f>IFERROR(VLOOKUP(A55,[1]Spreads!$A$1:$G$279,5,FALSE)/1000,"n/a")</f>
        <v>747.22085643015191</v>
      </c>
      <c r="P55" s="31">
        <f>IFERROR(VLOOKUP(A55,[1]Spreads!$A$1:$G$279,6,FALSE)/1000,"n/a")</f>
        <v>633.50177622150306</v>
      </c>
      <c r="Q55" s="9"/>
      <c r="R55" s="32">
        <f>_xlfn.IFNA(VLOOKUP($A55,[1]IRESS!$A$11:$AE$696,6,FALSE)/100,"n/a")</f>
        <v>24.87</v>
      </c>
      <c r="S55" s="33">
        <f>_xlfn.IFNA(VLOOKUP($A55,[1]IRESS!$A$11:$AE$696,21,FALSE)/100,"n/a")</f>
        <v>26.03</v>
      </c>
      <c r="T55" s="32">
        <f>_xlfn.IFNA(VLOOKUP($A55,[1]IRESS!$A$11:$AE$696,22,FALSE)/100,"n/a")</f>
        <v>23.74</v>
      </c>
      <c r="V55" s="34">
        <f>IFERROR((VLOOKUP($A55,[1]IRESS!$A$11:$AE$696,20,FALSE)/100)/R55,"n/a")</f>
        <v>5.9227221552070761E-2</v>
      </c>
      <c r="W55" s="35">
        <f>IFERROR(VLOOKUP($A55,[1]Morningstar!$A$2:$F$477,3,FALSE),"n/a")</f>
        <v>3.2800000000000003E-2</v>
      </c>
      <c r="X55" s="34">
        <f>IFERROR(VLOOKUP($A55,[1]Morningstar!$A$2:$F$477,4,FALSE),"n/a")</f>
        <v>9.11E-2</v>
      </c>
      <c r="Y55" s="35">
        <f>IFERROR(VLOOKUP($A55,[1]Morningstar!$A$2:$F$477,5,FALSE),"n/a")</f>
        <v>6.2300000000000001E-2</v>
      </c>
      <c r="Z55" s="34" t="str">
        <f>IFERROR(VLOOKUP($A55,[1]Morningstar!$A$2:$F$477,6,FALSE),"n/a")</f>
        <v>n/a</v>
      </c>
    </row>
    <row r="56" spans="1:26">
      <c r="A56" s="21" t="s">
        <v>72</v>
      </c>
      <c r="B56" s="22" t="s">
        <v>28</v>
      </c>
      <c r="C56" s="23" t="str">
        <f>VLOOKUP(A56,'[1]ETF List'!$A$3:$B$185,2,FALSE)</f>
        <v xml:space="preserve">Russell High Dividend Australian Shares ETF  </v>
      </c>
      <c r="D56" s="24"/>
      <c r="E56" s="7"/>
      <c r="F56" s="25">
        <f>_xlfn.IFNA(VLOOKUP(A56,'[1]ETF List'!$A$2:$I$180,6,FALSE),"n/a")</f>
        <v>0.34</v>
      </c>
      <c r="G56" s="26">
        <f>_xlfn.IFNA(VLOOKUP(A56,'[1]ETF List'!$A$2:$J$180,8,FALSE)/1000000,"n/a")</f>
        <v>281.66449181000002</v>
      </c>
      <c r="H56" s="25">
        <f>_xlfn.IFNA(VLOOKUP(A56,'[1]ETF List'!$A$2:$N$180,14,FALSE)/1000000,"n/a")</f>
        <v>-3.0659305299999713</v>
      </c>
      <c r="I56" s="26">
        <f>_xlfn.IFNA(VLOOKUP(A56,'[1]ETF List'!$A:$R,18,FALSE)/1000000,"n/a")</f>
        <v>-4.3484999999999996</v>
      </c>
      <c r="J56" s="27">
        <f>_xlfn.IFNA(VLOOKUP(A56,[1]IRESS!$A$10:$F$875,5,FALSE),"n/a")</f>
        <v>13111180.684800005</v>
      </c>
      <c r="K56" s="28">
        <f>_xlfn.IFNA(VLOOKUP(A56,[1]IRESS!$A$11:$G$684,7,FALSE),"n/a")</f>
        <v>452051</v>
      </c>
      <c r="L56" s="27">
        <f>_xlfn.IFNA(VLOOKUP(A56,[1]IRESS!$A$10:$F$875,4,FALSE),"n/a")</f>
        <v>372</v>
      </c>
      <c r="M56" s="29">
        <f t="shared" si="0"/>
        <v>4.6548929900771099E-2</v>
      </c>
      <c r="N56" s="30">
        <f>_xlfn.IFNA(VLOOKUP(A56,[1]Spreads!$A$1:$G$279,2,FALSE),"n/a")</f>
        <v>9.4061413739389508E-4</v>
      </c>
      <c r="O56" s="28">
        <f>IFERROR(VLOOKUP(A56,[1]Spreads!$A$1:$G$279,5,FALSE)/1000,"n/a")</f>
        <v>866.80649682596606</v>
      </c>
      <c r="P56" s="31">
        <f>IFERROR(VLOOKUP(A56,[1]Spreads!$A$1:$G$279,6,FALSE)/1000,"n/a")</f>
        <v>1092.71809690553</v>
      </c>
      <c r="Q56" s="9"/>
      <c r="R56" s="32">
        <f>_xlfn.IFNA(VLOOKUP($A56,[1]IRESS!$A$11:$AE$696,6,FALSE)/100,"n/a")</f>
        <v>28.99</v>
      </c>
      <c r="S56" s="33">
        <f>_xlfn.IFNA(VLOOKUP($A56,[1]IRESS!$A$11:$AE$696,21,FALSE)/100,"n/a")</f>
        <v>31.68</v>
      </c>
      <c r="T56" s="32">
        <f>_xlfn.IFNA(VLOOKUP($A56,[1]IRESS!$A$11:$AE$696,22,FALSE)/100,"n/a")</f>
        <v>28.1</v>
      </c>
      <c r="V56" s="34">
        <f>IFERROR((VLOOKUP($A56,[1]IRESS!$A$11:$AE$696,20,FALSE)/100)/R56,"n/a")</f>
        <v>6.5908692652638851E-2</v>
      </c>
      <c r="W56" s="35">
        <f>IFERROR(VLOOKUP($A56,[1]Morningstar!$A$2:$F$477,3,FALSE),"n/a")</f>
        <v>1.7999999999999999E-2</v>
      </c>
      <c r="X56" s="34">
        <f>IFERROR(VLOOKUP($A56,[1]Morningstar!$A$2:$F$477,4,FALSE),"n/a")</f>
        <v>4.3299999999999998E-2</v>
      </c>
      <c r="Y56" s="35">
        <f>IFERROR(VLOOKUP($A56,[1]Morningstar!$A$2:$F$477,5,FALSE),"n/a")</f>
        <v>4.6199999999999998E-2</v>
      </c>
      <c r="Z56" s="34">
        <f>IFERROR(VLOOKUP($A56,[1]Morningstar!$A$2:$F$477,6,FALSE),"n/a")</f>
        <v>7.3700000000000002E-2</v>
      </c>
    </row>
    <row r="57" spans="1:26">
      <c r="A57" s="21" t="s">
        <v>73</v>
      </c>
      <c r="B57" s="22" t="s">
        <v>43</v>
      </c>
      <c r="C57" s="23" t="str">
        <f>VLOOKUP(A57,'[1]ETF List'!$A$3:$B$185,2,FALSE)</f>
        <v>BetaShares Australian Small Companies Select Fund (Managed Fund)</v>
      </c>
      <c r="D57" s="24"/>
      <c r="E57" s="7"/>
      <c r="F57" s="25">
        <f>_xlfn.IFNA(VLOOKUP(A57,'[1]ETF List'!$A$2:$I$180,6,FALSE),"n/a")</f>
        <v>0.39</v>
      </c>
      <c r="G57" s="26">
        <f>_xlfn.IFNA(VLOOKUP(A57,'[1]ETF List'!$A$2:$J$180,8,FALSE)/1000000,"n/a")</f>
        <v>22.401575000000001</v>
      </c>
      <c r="H57" s="25">
        <f>_xlfn.IFNA(VLOOKUP(A57,'[1]ETF List'!$A$2:$N$180,14,FALSE)/1000000,"n/a")</f>
        <v>1.1860590800000019</v>
      </c>
      <c r="I57" s="26">
        <f>_xlfn.IFNA(VLOOKUP(A57,'[1]ETF List'!$A:$R,18,FALSE)/1000000,"n/a")</f>
        <v>0.94079300000000321</v>
      </c>
      <c r="J57" s="27">
        <f>_xlfn.IFNA(VLOOKUP(A57,[1]IRESS!$A$10:$F$875,5,FALSE),"n/a")</f>
        <v>1021604.5849999998</v>
      </c>
      <c r="K57" s="28">
        <f>_xlfn.IFNA(VLOOKUP(A57,[1]IRESS!$A$11:$G$684,7,FALSE),"n/a")</f>
        <v>291951</v>
      </c>
      <c r="L57" s="27">
        <f>_xlfn.IFNA(VLOOKUP(A57,[1]IRESS!$A$10:$F$875,4,FALSE),"n/a")</f>
        <v>446</v>
      </c>
      <c r="M57" s="29">
        <f t="shared" si="0"/>
        <v>4.5604141003478545E-2</v>
      </c>
      <c r="N57" s="30">
        <f>_xlfn.IFNA(VLOOKUP(A57,[1]Spreads!$A$1:$G$279,2,FALSE),"n/a")</f>
        <v>4.77691499963258E-3</v>
      </c>
      <c r="O57" s="28">
        <f>IFERROR(VLOOKUP(A57,[1]Spreads!$A$1:$G$279,5,FALSE)/1000,"n/a")</f>
        <v>1036.5059140522901</v>
      </c>
      <c r="P57" s="31">
        <f>IFERROR(VLOOKUP(A57,[1]Spreads!$A$1:$G$279,6,FALSE)/1000,"n/a")</f>
        <v>1050.4846090537201</v>
      </c>
      <c r="Q57" s="9"/>
      <c r="R57" s="32">
        <f>_xlfn.IFNA(VLOOKUP($A57,[1]IRESS!$A$11:$AE$696,6,FALSE)/100,"n/a")</f>
        <v>3.5</v>
      </c>
      <c r="S57" s="33">
        <f>_xlfn.IFNA(VLOOKUP($A57,[1]IRESS!$A$11:$AE$696,21,FALSE)/100,"n/a")</f>
        <v>3.56</v>
      </c>
      <c r="T57" s="32">
        <f>_xlfn.IFNA(VLOOKUP($A57,[1]IRESS!$A$11:$AE$696,22,FALSE)/100,"n/a")</f>
        <v>2.97</v>
      </c>
      <c r="V57" s="34">
        <f>IFERROR((VLOOKUP($A57,[1]IRESS!$A$11:$AE$696,20,FALSE)/100)/R57,"n/a")</f>
        <v>4.7022571428571421E-2</v>
      </c>
      <c r="W57" s="35">
        <f>IFERROR(VLOOKUP($A57,[1]Morningstar!$A$2:$F$477,3,FALSE),"n/a")</f>
        <v>1.7399999999999999E-2</v>
      </c>
      <c r="X57" s="34">
        <f>IFERROR(VLOOKUP($A57,[1]Morningstar!$A$2:$F$477,4,FALSE),"n/a")</f>
        <v>0.1651</v>
      </c>
      <c r="Y57" s="35" t="str">
        <f>IFERROR(VLOOKUP($A57,[1]Morningstar!$A$2:$F$477,5,FALSE),"n/a")</f>
        <v>n/a</v>
      </c>
      <c r="Z57" s="34" t="str">
        <f>IFERROR(VLOOKUP($A57,[1]Morningstar!$A$2:$F$477,6,FALSE),"n/a")</f>
        <v>n/a</v>
      </c>
    </row>
    <row r="58" spans="1:26">
      <c r="A58" s="21" t="s">
        <v>74</v>
      </c>
      <c r="B58" s="22" t="s">
        <v>43</v>
      </c>
      <c r="C58" s="23" t="str">
        <f>VLOOKUP(A58,'[1]ETF List'!$A$3:$B$185,2,FALSE)</f>
        <v>Switzer Dividend Growth Fund (Managed Fund)</v>
      </c>
      <c r="D58" s="24"/>
      <c r="E58" s="7"/>
      <c r="F58" s="25">
        <f>_xlfn.IFNA(VLOOKUP(A58,'[1]ETF List'!$A$2:$I$180,6,FALSE),"n/a")</f>
        <v>0.89</v>
      </c>
      <c r="G58" s="26">
        <f>_xlfn.IFNA(VLOOKUP(A58,'[1]ETF List'!$A$2:$J$180,8,FALSE)/1000000,"n/a")</f>
        <v>77.484817960000015</v>
      </c>
      <c r="H58" s="25">
        <f>_xlfn.IFNA(VLOOKUP(A58,'[1]ETF List'!$A$2:$N$180,14,FALSE)/1000000,"n/a")</f>
        <v>0.47557488000001014</v>
      </c>
      <c r="I58" s="26">
        <f>_xlfn.IFNA(VLOOKUP(A58,'[1]ETF List'!$A:$R,18,FALSE)/1000000,"n/a")</f>
        <v>-2.2638843599999907</v>
      </c>
      <c r="J58" s="27">
        <f>_xlfn.IFNA(VLOOKUP(A58,[1]IRESS!$A$10:$F$875,5,FALSE),"n/a")</f>
        <v>4256797.1000000006</v>
      </c>
      <c r="K58" s="28">
        <f>_xlfn.IFNA(VLOOKUP(A58,[1]IRESS!$A$11:$G$684,7,FALSE),"n/a")</f>
        <v>1659415</v>
      </c>
      <c r="L58" s="27">
        <f>_xlfn.IFNA(VLOOKUP(A58,[1]IRESS!$A$10:$F$875,4,FALSE),"n/a")</f>
        <v>184</v>
      </c>
      <c r="M58" s="29">
        <f t="shared" si="0"/>
        <v>5.4937176237511293E-2</v>
      </c>
      <c r="N58" s="30">
        <f>_xlfn.IFNA(VLOOKUP(A58,[1]Spreads!$A$1:$G$279,2,FALSE),"n/a")</f>
        <v>5.7505315299309799E-3</v>
      </c>
      <c r="O58" s="28">
        <f>IFERROR(VLOOKUP(A58,[1]Spreads!$A$1:$G$279,5,FALSE)/1000,"n/a")</f>
        <v>663.26540941021199</v>
      </c>
      <c r="P58" s="31">
        <f>IFERROR(VLOOKUP(A58,[1]Spreads!$A$1:$G$279,6,FALSE)/1000,"n/a")</f>
        <v>977.09893365084304</v>
      </c>
      <c r="Q58" s="9"/>
      <c r="R58" s="32">
        <f>_xlfn.IFNA(VLOOKUP($A58,[1]IRESS!$A$11:$AE$696,6,FALSE)/100,"n/a")</f>
        <v>2.6</v>
      </c>
      <c r="S58" s="33">
        <f>_xlfn.IFNA(VLOOKUP($A58,[1]IRESS!$A$11:$AE$696,21,FALSE)/100,"n/a")</f>
        <v>2.63</v>
      </c>
      <c r="T58" s="32">
        <f>_xlfn.IFNA(VLOOKUP($A58,[1]IRESS!$A$11:$AE$696,22,FALSE)/100,"n/a")</f>
        <v>2.42</v>
      </c>
      <c r="V58" s="34">
        <f>IFERROR((VLOOKUP($A58,[1]IRESS!$A$11:$AE$696,20,FALSE)/100)/R58,"n/a")</f>
        <v>3.6736923076923077E-2</v>
      </c>
      <c r="W58" s="35">
        <f>IFERROR(VLOOKUP($A58,[1]Morningstar!$A$2:$F$477,3,FALSE),"n/a")</f>
        <v>3.56E-2</v>
      </c>
      <c r="X58" s="34">
        <f>IFERROR(VLOOKUP($A58,[1]Morningstar!$A$2:$F$477,4,FALSE),"n/a")</f>
        <v>8.7900000000000006E-2</v>
      </c>
      <c r="Y58" s="35" t="str">
        <f>IFERROR(VLOOKUP($A58,[1]Morningstar!$A$2:$F$477,5,FALSE),"n/a")</f>
        <v>n/a</v>
      </c>
      <c r="Z58" s="34" t="str">
        <f>IFERROR(VLOOKUP($A58,[1]Morningstar!$A$2:$F$477,6,FALSE),"n/a")</f>
        <v>n/a</v>
      </c>
    </row>
    <row r="59" spans="1:26">
      <c r="A59" s="21" t="s">
        <v>75</v>
      </c>
      <c r="B59" s="22" t="s">
        <v>28</v>
      </c>
      <c r="C59" s="23" t="str">
        <f>VLOOKUP(A59,'[1]ETF List'!$A$3:$B$185,2,FALSE)</f>
        <v xml:space="preserve">SPDR MSCI Australia Select High Dividend Yield Fund </v>
      </c>
      <c r="D59" s="24"/>
      <c r="E59" s="7"/>
      <c r="F59" s="25">
        <f>_xlfn.IFNA(VLOOKUP(A59,'[1]ETF List'!$A$2:$I$180,6,FALSE),"n/a")</f>
        <v>0.35</v>
      </c>
      <c r="G59" s="26">
        <f>_xlfn.IFNA(VLOOKUP(A59,'[1]ETF List'!$A$2:$J$180,8,FALSE)/1000000,"n/a")</f>
        <v>164.32365270000003</v>
      </c>
      <c r="H59" s="25">
        <f>_xlfn.IFNA(VLOOKUP(A59,'[1]ETF List'!$A$2:$N$180,14,FALSE)/1000000,"n/a")</f>
        <v>-15.922349899999976</v>
      </c>
      <c r="I59" s="26">
        <f>_xlfn.IFNA(VLOOKUP(A59,'[1]ETF List'!$A:$R,18,FALSE)/1000000,"n/a")</f>
        <v>-20.419</v>
      </c>
      <c r="J59" s="27">
        <f>_xlfn.IFNA(VLOOKUP(A59,[1]IRESS!$A$10:$F$875,5,FALSE),"n/a")</f>
        <v>5528126.6999999993</v>
      </c>
      <c r="K59" s="28">
        <f>_xlfn.IFNA(VLOOKUP(A59,[1]IRESS!$A$11:$G$684,7,FALSE),"n/a")</f>
        <v>191557</v>
      </c>
      <c r="L59" s="27">
        <f>_xlfn.IFNA(VLOOKUP(A59,[1]IRESS!$A$10:$F$875,4,FALSE),"n/a")</f>
        <v>222</v>
      </c>
      <c r="M59" s="29">
        <f t="shared" si="0"/>
        <v>3.3641698009795995E-2</v>
      </c>
      <c r="N59" s="30">
        <f>_xlfn.IFNA(VLOOKUP(A59,[1]Spreads!$A$1:$G$279,2,FALSE),"n/a")</f>
        <v>1.0361419262824899E-3</v>
      </c>
      <c r="O59" s="28">
        <f>IFERROR(VLOOKUP(A59,[1]Spreads!$A$1:$G$279,5,FALSE)/1000,"n/a")</f>
        <v>2212.9830840483801</v>
      </c>
      <c r="P59" s="31">
        <f>IFERROR(VLOOKUP(A59,[1]Spreads!$A$1:$G$279,6,FALSE)/1000,"n/a")</f>
        <v>1737.5112665107199</v>
      </c>
      <c r="Q59" s="9"/>
      <c r="R59" s="32">
        <f>_xlfn.IFNA(VLOOKUP($A59,[1]IRESS!$A$11:$AE$696,6,FALSE)/100,"n/a")</f>
        <v>29.17</v>
      </c>
      <c r="S59" s="33">
        <f>_xlfn.IFNA(VLOOKUP($A59,[1]IRESS!$A$11:$AE$696,21,FALSE)/100,"n/a")</f>
        <v>29.98</v>
      </c>
      <c r="T59" s="32">
        <f>_xlfn.IFNA(VLOOKUP($A59,[1]IRESS!$A$11:$AE$696,22,FALSE)/100,"n/a")</f>
        <v>27.46</v>
      </c>
      <c r="V59" s="34">
        <f>IFERROR((VLOOKUP($A59,[1]IRESS!$A$11:$AE$696,20,FALSE)/100)/R59,"n/a")</f>
        <v>5.0467912238601295E-2</v>
      </c>
      <c r="W59" s="35">
        <f>IFERROR(VLOOKUP($A59,[1]Morningstar!$A$2:$F$477,3,FALSE),"n/a")</f>
        <v>1.7100000000000001E-2</v>
      </c>
      <c r="X59" s="34">
        <f>IFERROR(VLOOKUP($A59,[1]Morningstar!$A$2:$F$477,4,FALSE),"n/a")</f>
        <v>4.1700000000000001E-2</v>
      </c>
      <c r="Y59" s="35">
        <f>IFERROR(VLOOKUP($A59,[1]Morningstar!$A$2:$F$477,5,FALSE),"n/a")</f>
        <v>4.9200000000000001E-2</v>
      </c>
      <c r="Z59" s="34">
        <f>IFERROR(VLOOKUP($A59,[1]Morningstar!$A$2:$F$477,6,FALSE),"n/a")</f>
        <v>6.4399999999999999E-2</v>
      </c>
    </row>
    <row r="60" spans="1:26" s="36" customFormat="1">
      <c r="A60" s="21" t="s">
        <v>76</v>
      </c>
      <c r="B60" s="22" t="s">
        <v>28</v>
      </c>
      <c r="C60" s="23" t="str">
        <f>VLOOKUP(A60,'[1]ETF List'!$A$3:$B$185,2,FALSE)</f>
        <v>Vanguard Australian Shares High Yield ETF</v>
      </c>
      <c r="D60" s="24"/>
      <c r="E60" s="7"/>
      <c r="F60" s="25">
        <f>_xlfn.IFNA(VLOOKUP(A60,'[1]ETF List'!$A$2:$I$180,6,FALSE),"n/a")</f>
        <v>0.25</v>
      </c>
      <c r="G60" s="26">
        <f>_xlfn.IFNA(VLOOKUP(A60,'[1]ETF List'!$A$2:$J$180,8,FALSE)/1000000,"n/a")</f>
        <v>1075.4999045999998</v>
      </c>
      <c r="H60" s="25">
        <f>_xlfn.IFNA(VLOOKUP(A60,'[1]ETF List'!$A$2:$N$180,14,FALSE)/1000000,"n/a")</f>
        <v>43.279978589999914</v>
      </c>
      <c r="I60" s="26">
        <f>_xlfn.IFNA(VLOOKUP(A60,'[1]ETF List'!$A:$R,18,FALSE)/1000000,"n/a")</f>
        <v>7.1280000000000001</v>
      </c>
      <c r="J60" s="27">
        <f>_xlfn.IFNA(VLOOKUP(A60,[1]IRESS!$A$10:$F$875,5,FALSE),"n/a")</f>
        <v>50881903.620000005</v>
      </c>
      <c r="K60" s="28">
        <f>_xlfn.IFNA(VLOOKUP(A60,[1]IRESS!$A$11:$G$684,7,FALSE),"n/a")</f>
        <v>874797</v>
      </c>
      <c r="L60" s="27">
        <f>_xlfn.IFNA(VLOOKUP(A60,[1]IRESS!$A$10:$F$875,4,FALSE),"n/a")</f>
        <v>1772</v>
      </c>
      <c r="M60" s="29">
        <f t="shared" si="0"/>
        <v>4.7310002913411704E-2</v>
      </c>
      <c r="N60" s="30">
        <f>_xlfn.IFNA(VLOOKUP(A60,[1]Spreads!$A$1:$G$279,2,FALSE),"n/a")</f>
        <v>5.3990546708616502E-4</v>
      </c>
      <c r="O60" s="28">
        <f>IFERROR(VLOOKUP(A60,[1]Spreads!$A$1:$G$279,5,FALSE)/1000,"n/a")</f>
        <v>1411.2299815313199</v>
      </c>
      <c r="P60" s="31">
        <f>IFERROR(VLOOKUP(A60,[1]Spreads!$A$1:$G$279,6,FALSE)/1000,"n/a")</f>
        <v>2060.5584348054299</v>
      </c>
      <c r="Q60" s="9"/>
      <c r="R60" s="32"/>
      <c r="S60" s="48">
        <f>_xlfn.IFNA(VLOOKUP($A60,[1]IRESS!$A$11:$AE$696,21,FALSE)/100,"n/a")</f>
        <v>63.24</v>
      </c>
      <c r="T60" s="32">
        <f>_xlfn.IFNA(VLOOKUP($A60,[1]IRESS!$A$11:$AE$696,22,FALSE)/100,"n/a")</f>
        <v>55.91</v>
      </c>
      <c r="U60" s="7"/>
      <c r="V60" s="34" t="str">
        <f>IFERROR((VLOOKUP($A60,[1]IRESS!$A$11:$AE$696,20,FALSE)/100)/R60,"n/a")</f>
        <v>n/a</v>
      </c>
      <c r="W60" s="35">
        <f>IFERROR(VLOOKUP($A60,[1]Morningstar!$A$2:$F$477,3,FALSE),"n/a")</f>
        <v>3.3300000000000003E-2</v>
      </c>
      <c r="X60" s="34">
        <f>IFERROR(VLOOKUP($A60,[1]Morningstar!$A$2:$F$477,4,FALSE),"n/a")</f>
        <v>2.75E-2</v>
      </c>
      <c r="Y60" s="35">
        <f>IFERROR(VLOOKUP($A60,[1]Morningstar!$A$2:$F$477,5,FALSE),"n/a")</f>
        <v>3.9600000000000003E-2</v>
      </c>
      <c r="Z60" s="34">
        <f>IFERROR(VLOOKUP($A60,[1]Morningstar!$A$2:$F$477,6,FALSE),"n/a")</f>
        <v>6.4100000000000004E-2</v>
      </c>
    </row>
    <row r="61" spans="1:26" s="45" customFormat="1">
      <c r="A61" s="21" t="s">
        <v>77</v>
      </c>
      <c r="B61" s="22" t="s">
        <v>43</v>
      </c>
      <c r="C61" s="23" t="str">
        <f>VLOOKUP(A61,'[1]ETF List'!$A$3:$B$185,2,FALSE)</f>
        <v>BetaShares Australia Top20 Equity Yield Max Fund</v>
      </c>
      <c r="D61" s="24"/>
      <c r="E61" s="7"/>
      <c r="F61" s="25">
        <f>_xlfn.IFNA(VLOOKUP(A61,'[1]ETF List'!$A$2:$I$180,6,FALSE),"n/a")</f>
        <v>0.79</v>
      </c>
      <c r="G61" s="26">
        <f>_xlfn.IFNA(VLOOKUP(A61,'[1]ETF List'!$A$2:$J$180,8,FALSE)/1000000,"n/a")</f>
        <v>373.94708706</v>
      </c>
      <c r="H61" s="25">
        <f>_xlfn.IFNA(VLOOKUP(A61,'[1]ETF List'!$A$2:$N$180,14,FALSE)/1000000,"n/a")</f>
        <v>4.2548913799999957</v>
      </c>
      <c r="I61" s="26">
        <f>_xlfn.IFNA(VLOOKUP(A61,'[1]ETF List'!$A:$R,18,FALSE)/1000000,"n/a")</f>
        <v>-7.1920000000000002</v>
      </c>
      <c r="J61" s="27">
        <f>_xlfn.IFNA(VLOOKUP(A61,[1]IRESS!$A$10:$F$875,5,FALSE),"n/a")</f>
        <v>29578124.109999999</v>
      </c>
      <c r="K61" s="28">
        <f>_xlfn.IFNA(VLOOKUP(A61,[1]IRESS!$A$11:$G$684,7,FALSE),"n/a")</f>
        <v>3347219</v>
      </c>
      <c r="L61" s="27">
        <f>_xlfn.IFNA(VLOOKUP(A61,[1]IRESS!$A$10:$F$875,4,FALSE),"n/a")</f>
        <v>669</v>
      </c>
      <c r="M61" s="29">
        <f t="shared" si="0"/>
        <v>7.9097083875008703E-2</v>
      </c>
      <c r="N61" s="30">
        <f>_xlfn.IFNA(VLOOKUP(A61,[1]Spreads!$A$1:$G$279,2,FALSE),"n/a")</f>
        <v>1.6907009060993699E-3</v>
      </c>
      <c r="O61" s="28">
        <f>IFERROR(VLOOKUP(A61,[1]Spreads!$A$1:$G$279,5,FALSE)/1000,"n/a")</f>
        <v>1167.9232411555599</v>
      </c>
      <c r="P61" s="31">
        <f>IFERROR(VLOOKUP(A61,[1]Spreads!$A$1:$G$279,6,FALSE)/1000,"n/a")</f>
        <v>1065.1273782353001</v>
      </c>
      <c r="Q61" s="9"/>
      <c r="R61" s="32">
        <f>_xlfn.IFNA(VLOOKUP($A61,[1]IRESS!$A$11:$AE$696,6,FALSE)/100,"n/a")</f>
        <v>8.99</v>
      </c>
      <c r="S61" s="33">
        <f>_xlfn.IFNA(VLOOKUP($A61,[1]IRESS!$A$11:$AE$696,21,FALSE)/100,"n/a")</f>
        <v>9.16</v>
      </c>
      <c r="T61" s="32">
        <f>_xlfn.IFNA(VLOOKUP($A61,[1]IRESS!$A$11:$AE$696,22,FALSE)/100,"n/a")</f>
        <v>8.4499999999999993</v>
      </c>
      <c r="U61" s="7"/>
      <c r="V61" s="34">
        <f>IFERROR((VLOOKUP($A61,[1]IRESS!$A$11:$AE$696,20,FALSE)/100)/R61,"n/a")</f>
        <v>8.5393993325917683E-2</v>
      </c>
      <c r="W61" s="35">
        <f>IFERROR(VLOOKUP($A61,[1]Morningstar!$A$2:$F$477,3,FALSE),"n/a")</f>
        <v>2.7199999999999998E-2</v>
      </c>
      <c r="X61" s="34">
        <f>IFERROR(VLOOKUP($A61,[1]Morningstar!$A$2:$F$477,4,FALSE),"n/a")</f>
        <v>7.9500000000000001E-2</v>
      </c>
      <c r="Y61" s="35">
        <f>IFERROR(VLOOKUP($A61,[1]Morningstar!$A$2:$F$477,5,FALSE),"n/a")</f>
        <v>4.1799999999999997E-2</v>
      </c>
      <c r="Z61" s="34">
        <f>IFERROR(VLOOKUP($A61,[1]Morningstar!$A$2:$F$477,6,FALSE),"n/a")</f>
        <v>5.16E-2</v>
      </c>
    </row>
    <row r="62" spans="1:26">
      <c r="A62" s="21" t="s">
        <v>78</v>
      </c>
      <c r="B62" s="22" t="s">
        <v>28</v>
      </c>
      <c r="C62" s="23" t="str">
        <f>VLOOKUP(A62,'[1]ETF List'!$A$3:$B$185,2,FALSE)</f>
        <v>ETFS S&amp;P/ASX 300 High Yield Plus ETF</v>
      </c>
      <c r="D62" s="24"/>
      <c r="E62" s="7"/>
      <c r="F62" s="25">
        <f>_xlfn.IFNA(VLOOKUP(A62,'[1]ETF List'!$A$2:$I$180,6,FALSE),"n/a")</f>
        <v>0.35</v>
      </c>
      <c r="G62" s="26">
        <f>_xlfn.IFNA(VLOOKUP(A62,'[1]ETF List'!$A$2:$J$180,8,FALSE)/1000000,"n/a")</f>
        <v>63.527364560000002</v>
      </c>
      <c r="H62" s="25">
        <f>_xlfn.IFNA(VLOOKUP(A62,'[1]ETF List'!$A$2:$N$180,14,FALSE)/1000000,"n/a")</f>
        <v>6.0235216800000071</v>
      </c>
      <c r="I62" s="26">
        <f>_xlfn.IFNA(VLOOKUP(A62,'[1]ETF List'!$A:$R,18,FALSE)/1000000,"n/a")</f>
        <v>6.226</v>
      </c>
      <c r="J62" s="27">
        <f>_xlfn.IFNA(VLOOKUP(A62,[1]IRESS!$A$10:$F$875,5,FALSE),"n/a")</f>
        <v>10583808.23</v>
      </c>
      <c r="K62" s="28">
        <f>_xlfn.IFNA(VLOOKUP(A62,[1]IRESS!$A$11:$G$684,7,FALSE),"n/a")</f>
        <v>924357</v>
      </c>
      <c r="L62" s="27">
        <f>_xlfn.IFNA(VLOOKUP(A62,[1]IRESS!$A$10:$F$875,4,FALSE),"n/a")</f>
        <v>302</v>
      </c>
      <c r="M62" s="29">
        <f t="shared" si="0"/>
        <v>0.16660235007866347</v>
      </c>
      <c r="N62" s="30">
        <f>_xlfn.IFNA(VLOOKUP(A62,[1]Spreads!$A$1:$G$279,2,FALSE),"n/a")</f>
        <v>1.4036963738928401E-3</v>
      </c>
      <c r="O62" s="28">
        <f>IFERROR(VLOOKUP(A62,[1]Spreads!$A$1:$G$279,5,FALSE)/1000,"n/a")</f>
        <v>208.190490196078</v>
      </c>
      <c r="P62" s="31">
        <f>IFERROR(VLOOKUP(A62,[1]Spreads!$A$1:$G$279,6,FALSE)/1000,"n/a")</f>
        <v>208.83832107843099</v>
      </c>
      <c r="Q62" s="9"/>
      <c r="R62" s="32">
        <f>_xlfn.IFNA(VLOOKUP($A62,[1]IRESS!$A$11:$AE$696,6,FALSE)/100,"n/a")</f>
        <v>11.29</v>
      </c>
      <c r="S62" s="33">
        <f>_xlfn.IFNA(VLOOKUP($A62,[1]IRESS!$A$11:$AE$696,21,FALSE)/100,"n/a")</f>
        <v>12.01</v>
      </c>
      <c r="T62" s="32">
        <f>_xlfn.IFNA(VLOOKUP($A62,[1]IRESS!$A$11:$AE$696,22,FALSE)/100,"n/a")</f>
        <v>10.49</v>
      </c>
      <c r="V62" s="34">
        <f>IFERROR((VLOOKUP($A62,[1]IRESS!$A$11:$AE$696,20,FALSE)/100)/R62,"n/a")</f>
        <v>5.000451727192206E-2</v>
      </c>
      <c r="W62" s="35">
        <f>IFERROR(VLOOKUP($A62,[1]Morningstar!$A$2:$F$477,3,FALSE),"n/a")</f>
        <v>1.9599999999999999E-2</v>
      </c>
      <c r="X62" s="34">
        <f>IFERROR(VLOOKUP($A62,[1]Morningstar!$A$2:$F$477,4,FALSE),"n/a")</f>
        <v>9.9099999999999994E-2</v>
      </c>
      <c r="Y62" s="35">
        <f>IFERROR(VLOOKUP($A62,[1]Morningstar!$A$2:$F$477,5,FALSE),"n/a")</f>
        <v>0.11650000000000001</v>
      </c>
      <c r="Z62" s="34" t="str">
        <f>IFERROR(VLOOKUP($A62,[1]Morningstar!$A$2:$F$477,6,FALSE),"n/a")</f>
        <v>n/a</v>
      </c>
    </row>
    <row r="63" spans="1:26">
      <c r="A63" s="37" t="s">
        <v>79</v>
      </c>
      <c r="B63" s="38"/>
      <c r="C63" s="38"/>
      <c r="D63" s="38"/>
      <c r="E63" s="7"/>
      <c r="F63" s="39"/>
      <c r="G63" s="39"/>
      <c r="H63" s="39"/>
      <c r="I63" s="39"/>
      <c r="J63" s="39"/>
      <c r="K63" s="39"/>
      <c r="L63" s="39"/>
      <c r="M63" s="40"/>
      <c r="N63" s="40"/>
      <c r="O63" s="39"/>
      <c r="P63" s="41"/>
      <c r="Q63" s="9"/>
      <c r="R63" s="42"/>
      <c r="S63" s="42"/>
      <c r="T63" s="42"/>
      <c r="V63" s="43"/>
      <c r="W63" s="44"/>
      <c r="X63" s="44"/>
      <c r="Y63" s="44"/>
      <c r="Z63" s="38"/>
    </row>
    <row r="64" spans="1:26">
      <c r="A64" s="21" t="s">
        <v>80</v>
      </c>
      <c r="B64" s="22" t="s">
        <v>28</v>
      </c>
      <c r="C64" s="46" t="str">
        <f>VLOOKUP(A64,'[1]ETF List'!$A$3:$B$185,2,FALSE)</f>
        <v>Vaneck Vectors MSCI International Sustainable Equity ETF</v>
      </c>
      <c r="D64" s="24"/>
      <c r="E64" s="7"/>
      <c r="F64" s="25">
        <f>_xlfn.IFNA(VLOOKUP(A64,'[1]ETF List'!$A$2:$I$180,6,FALSE),"n/a")</f>
        <v>0.55000000000000004</v>
      </c>
      <c r="G64" s="26">
        <f>_xlfn.IFNA(VLOOKUP(A64,'[1]ETF List'!$A$2:$J$180,8,FALSE)/1000000,"n/a")</f>
        <v>4.1700000000000008</v>
      </c>
      <c r="H64" s="25">
        <f>_xlfn.IFNA(VLOOKUP(A64,'[1]ETF List'!$A$2:$N$180,14,FALSE)/1000000,"n/a")</f>
        <v>5.4000000000000929E-2</v>
      </c>
      <c r="I64" s="26">
        <f>_xlfn.IFNA(VLOOKUP(A64,'[1]ETF List'!$A:$R,18,FALSE)/1000000,"n/a")</f>
        <v>0</v>
      </c>
      <c r="J64" s="27">
        <f>_xlfn.IFNA(VLOOKUP(A64,[1]IRESS!$A$10:$F$875,5,FALSE),"n/a")</f>
        <v>3085332.4000000004</v>
      </c>
      <c r="K64" s="28">
        <f>_xlfn.IFNA(VLOOKUP(A64,[1]IRESS!$A$11:$G$684,7,FALSE),"n/a")</f>
        <v>146640</v>
      </c>
      <c r="L64" s="27">
        <f>_xlfn.IFNA(VLOOKUP(A64,[1]IRESS!$A$10:$F$875,4,FALSE),"n/a")</f>
        <v>45</v>
      </c>
      <c r="M64" s="29">
        <f t="shared" si="0"/>
        <v>0.73988786570743392</v>
      </c>
      <c r="N64" s="30">
        <f>_xlfn.IFNA(VLOOKUP(A64,[1]Spreads!$A$1:$G$279,2,FALSE),"n/a")</f>
        <v>2.4869958224394699E-3</v>
      </c>
      <c r="O64" s="28">
        <f>IFERROR(VLOOKUP(A64,[1]Spreads!$A$1:$G$279,5,FALSE)/1000,"n/a")</f>
        <v>515.01873897569101</v>
      </c>
      <c r="P64" s="31">
        <f>IFERROR(VLOOKUP(A64,[1]Spreads!$A$1:$G$279,6,FALSE)/1000,"n/a")</f>
        <v>222.55902830762398</v>
      </c>
      <c r="Q64" s="9"/>
      <c r="R64" s="32">
        <f>_xlfn.IFNA(VLOOKUP($A64,[1]IRESS!$A$11:$AE$696,6,FALSE)/100,"n/a")</f>
        <v>20.85</v>
      </c>
      <c r="S64" s="33">
        <f>_xlfn.IFNA(VLOOKUP($A64,[1]IRESS!$A$11:$AE$696,21,FALSE)/100,"n/a")</f>
        <v>21.33</v>
      </c>
      <c r="T64" s="32">
        <f>_xlfn.IFNA(VLOOKUP($A64,[1]IRESS!$A$11:$AE$696,22,FALSE)/100,"n/a")</f>
        <v>19.78</v>
      </c>
      <c r="V64" s="34">
        <f>IFERROR((VLOOKUP($A64,[1]IRESS!$A$11:$AE$696,20,FALSE)/100)/R64,"n/a")</f>
        <v>4.7961630695443642E-3</v>
      </c>
      <c r="W64" s="35" t="str">
        <f>IFERROR(VLOOKUP($A64,[1]Morningstar!$A$2:$F$477,3,FALSE),"n/a")</f>
        <v>n/a</v>
      </c>
      <c r="X64" s="34" t="str">
        <f>IFERROR(VLOOKUP($A64,[1]Morningstar!$A$2:$F$477,4,FALSE),"n/a")</f>
        <v>n/a</v>
      </c>
      <c r="Y64" s="35" t="str">
        <f>IFERROR(VLOOKUP($A64,[1]Morningstar!$A$2:$F$477,5,FALSE),"n/a")</f>
        <v>n/a</v>
      </c>
      <c r="Z64" s="34" t="str">
        <f>IFERROR(VLOOKUP($A64,[1]Morningstar!$A$2:$F$477,6,FALSE),"n/a")</f>
        <v>n/a</v>
      </c>
    </row>
    <row r="65" spans="1:26">
      <c r="A65" s="21" t="s">
        <v>81</v>
      </c>
      <c r="B65" s="22" t="s">
        <v>28</v>
      </c>
      <c r="C65" s="46" t="str">
        <f>VLOOKUP(A65,'[1]ETF List'!$A$3:$B$185,2,FALSE)</f>
        <v>ETFS EURO STOXX 50 ETF</v>
      </c>
      <c r="D65" s="24"/>
      <c r="E65" s="7"/>
      <c r="F65" s="25">
        <f>_xlfn.IFNA(VLOOKUP(A65,'[1]ETF List'!$A$2:$I$180,6,FALSE),"n/a")</f>
        <v>0.35</v>
      </c>
      <c r="G65" s="26">
        <f>_xlfn.IFNA(VLOOKUP(A65,'[1]ETF List'!$A$2:$J$180,8,FALSE)/1000000,"n/a")</f>
        <v>65.022202140000005</v>
      </c>
      <c r="H65" s="25">
        <f>_xlfn.IFNA(VLOOKUP(A65,'[1]ETF List'!$A$2:$N$180,14,FALSE)/1000000,"n/a")</f>
        <v>-2.027371779999994</v>
      </c>
      <c r="I65" s="26">
        <f>_xlfn.IFNA(VLOOKUP(A65,'[1]ETF List'!$A:$R,18,FALSE)/1000000,"n/a")</f>
        <v>0</v>
      </c>
      <c r="J65" s="27">
        <f>_xlfn.IFNA(VLOOKUP(A65,[1]IRESS!$A$10:$F$875,5,FALSE),"n/a")</f>
        <v>9633125.1199999992</v>
      </c>
      <c r="K65" s="28">
        <f>_xlfn.IFNA(VLOOKUP(A65,[1]IRESS!$A$11:$G$684,7,FALSE),"n/a")</f>
        <v>148380</v>
      </c>
      <c r="L65" s="27">
        <f>_xlfn.IFNA(VLOOKUP(A65,[1]IRESS!$A$10:$F$875,4,FALSE),"n/a")</f>
        <v>267</v>
      </c>
      <c r="M65" s="29">
        <f t="shared" si="0"/>
        <v>0.1481513206713426</v>
      </c>
      <c r="N65" s="30">
        <f>_xlfn.IFNA(VLOOKUP(A65,[1]Spreads!$A$1:$G$279,2,FALSE),"n/a")</f>
        <v>1.56840542306041E-3</v>
      </c>
      <c r="O65" s="28">
        <f>IFERROR(VLOOKUP(A65,[1]Spreads!$A$1:$G$279,5,FALSE)/1000,"n/a")</f>
        <v>791.77112694810705</v>
      </c>
      <c r="P65" s="31">
        <f>IFERROR(VLOOKUP(A65,[1]Spreads!$A$1:$G$279,6,FALSE)/1000,"n/a")</f>
        <v>633.22369764423797</v>
      </c>
      <c r="Q65" s="9"/>
      <c r="R65" s="32">
        <f>_xlfn.IFNA(VLOOKUP($A65,[1]IRESS!$A$11:$AE$696,6,FALSE)/100,"n/a")</f>
        <v>62.22</v>
      </c>
      <c r="S65" s="33">
        <f>_xlfn.IFNA(VLOOKUP($A65,[1]IRESS!$A$11:$AE$696,21,FALSE)/100,"n/a")</f>
        <v>67.98</v>
      </c>
      <c r="T65" s="32">
        <f>_xlfn.IFNA(VLOOKUP($A65,[1]IRESS!$A$11:$AE$696,22,FALSE)/100,"n/a")</f>
        <v>59.89</v>
      </c>
      <c r="V65" s="34">
        <f>IFERROR((VLOOKUP($A65,[1]IRESS!$A$11:$AE$696,20,FALSE)/100)/R65,"n/a")</f>
        <v>3.7403567984570875E-2</v>
      </c>
      <c r="W65" s="35">
        <f>IFERROR(VLOOKUP($A65,[1]Morningstar!$A$2:$F$477,3,FALSE),"n/a")</f>
        <v>-1.5E-3</v>
      </c>
      <c r="X65" s="34">
        <f>IFERROR(VLOOKUP($A65,[1]Morningstar!$A$2:$F$477,4,FALSE),"n/a")</f>
        <v>6.3200000000000006E-2</v>
      </c>
      <c r="Y65" s="35" t="str">
        <f>IFERROR(VLOOKUP($A65,[1]Morningstar!$A$2:$F$477,5,FALSE),"n/a")</f>
        <v>n/a</v>
      </c>
      <c r="Z65" s="34" t="str">
        <f>IFERROR(VLOOKUP($A65,[1]Morningstar!$A$2:$F$477,6,FALSE),"n/a")</f>
        <v>n/a</v>
      </c>
    </row>
    <row r="66" spans="1:26">
      <c r="A66" s="21" t="s">
        <v>82</v>
      </c>
      <c r="B66" s="22" t="s">
        <v>28</v>
      </c>
      <c r="C66" s="46" t="str">
        <f>VLOOKUP(A66,'[1]ETF List'!$A$3:$B$185,2,FALSE)</f>
        <v>BetaShares WisdomTree Europe ETF - Currency Hedged</v>
      </c>
      <c r="D66" s="24"/>
      <c r="E66" s="7"/>
      <c r="F66" s="25">
        <f>_xlfn.IFNA(VLOOKUP(A66,'[1]ETF List'!$A$2:$I$180,6,FALSE),"n/a")</f>
        <v>0.57999999999999996</v>
      </c>
      <c r="G66" s="26">
        <f>_xlfn.IFNA(VLOOKUP(A66,'[1]ETF List'!$A$2:$J$180,8,FALSE)/1000000,"n/a")</f>
        <v>49.638884160000003</v>
      </c>
      <c r="H66" s="25">
        <f>_xlfn.IFNA(VLOOKUP(A66,'[1]ETF List'!$A$2:$N$180,14,FALSE)/1000000,"n/a")</f>
        <v>-3.569607</v>
      </c>
      <c r="I66" s="26">
        <f>_xlfn.IFNA(VLOOKUP(A66,'[1]ETF List'!$A:$R,18,FALSE)/1000000,"n/a")</f>
        <v>-2.544</v>
      </c>
      <c r="J66" s="27">
        <f>_xlfn.IFNA(VLOOKUP(A66,[1]IRESS!$A$10:$F$875,5,FALSE),"n/a")</f>
        <v>8904500.5249999985</v>
      </c>
      <c r="K66" s="28">
        <f>_xlfn.IFNA(VLOOKUP(A66,[1]IRESS!$A$11:$G$684,7,FALSE),"n/a")</f>
        <v>684151</v>
      </c>
      <c r="L66" s="27">
        <f>_xlfn.IFNA(VLOOKUP(A66,[1]IRESS!$A$10:$F$875,4,FALSE),"n/a")</f>
        <v>703</v>
      </c>
      <c r="M66" s="29">
        <f t="shared" si="0"/>
        <v>0.17938559006077379</v>
      </c>
      <c r="N66" s="30">
        <f>_xlfn.IFNA(VLOOKUP(A66,[1]Spreads!$A$1:$G$279,2,FALSE),"n/a")</f>
        <v>2.1646295925544599E-3</v>
      </c>
      <c r="O66" s="28">
        <f>IFERROR(VLOOKUP(A66,[1]Spreads!$A$1:$G$279,5,FALSE)/1000,"n/a")</f>
        <v>317.80436721836395</v>
      </c>
      <c r="P66" s="31">
        <f>IFERROR(VLOOKUP(A66,[1]Spreads!$A$1:$G$279,6,FALSE)/1000,"n/a")</f>
        <v>226.92572275638599</v>
      </c>
      <c r="Q66" s="9"/>
      <c r="R66" s="32">
        <f>_xlfn.IFNA(VLOOKUP($A66,[1]IRESS!$A$11:$AE$696,6,FALSE)/100,"n/a")</f>
        <v>12.72</v>
      </c>
      <c r="S66" s="33">
        <f>_xlfn.IFNA(VLOOKUP($A66,[1]IRESS!$A$11:$AE$696,21,FALSE)/100,"n/a")</f>
        <v>13.35</v>
      </c>
      <c r="T66" s="32">
        <f>_xlfn.IFNA(VLOOKUP($A66,[1]IRESS!$A$11:$AE$696,22,FALSE)/100,"n/a")</f>
        <v>11.67</v>
      </c>
      <c r="V66" s="34">
        <f>IFERROR((VLOOKUP($A66,[1]IRESS!$A$11:$AE$696,20,FALSE)/100)/R66,"n/a")</f>
        <v>3.9691823899371065E-2</v>
      </c>
      <c r="W66" s="35">
        <f>IFERROR(VLOOKUP($A66,[1]Morningstar!$A$2:$F$477,3,FALSE),"n/a")</f>
        <v>-2.7400000000000001E-2</v>
      </c>
      <c r="X66" s="34">
        <f>IFERROR(VLOOKUP($A66,[1]Morningstar!$A$2:$F$477,4,FALSE),"n/a")</f>
        <v>3.5299999999999998E-2</v>
      </c>
      <c r="Y66" s="35" t="str">
        <f>IFERROR(VLOOKUP($A66,[1]Morningstar!$A$2:$F$477,5,FALSE),"n/a")</f>
        <v>n/a</v>
      </c>
      <c r="Z66" s="34" t="str">
        <f>IFERROR(VLOOKUP($A66,[1]Morningstar!$A$2:$F$477,6,FALSE),"n/a")</f>
        <v>n/a</v>
      </c>
    </row>
    <row r="67" spans="1:26">
      <c r="A67" s="21" t="s">
        <v>83</v>
      </c>
      <c r="B67" s="22" t="s">
        <v>28</v>
      </c>
      <c r="C67" s="46" t="str">
        <f>VLOOKUP(A67,'[1]ETF List'!$A$3:$B$185,2,FALSE)</f>
        <v>iShares S&amp;P Europe ETF</v>
      </c>
      <c r="D67" s="24"/>
      <c r="E67" s="7"/>
      <c r="F67" s="25">
        <f>_xlfn.IFNA(VLOOKUP(A67,'[1]ETF List'!$A$2:$I$180,6,FALSE),"n/a")</f>
        <v>0.6</v>
      </c>
      <c r="G67" s="26">
        <f>_xlfn.IFNA(VLOOKUP(A67,'[1]ETF List'!$A$2:$J$180,8,FALSE)/1000000,"n/a")</f>
        <v>762.46498930000007</v>
      </c>
      <c r="H67" s="25">
        <f>_xlfn.IFNA(VLOOKUP(A67,'[1]ETF List'!$A$2:$N$180,14,FALSE)/1000000,"n/a")</f>
        <v>-43.807568899999978</v>
      </c>
      <c r="I67" s="26">
        <f>_xlfn.IFNA(VLOOKUP(A67,'[1]ETF List'!$A:$R,18,FALSE)/1000000,"n/a")</f>
        <v>-27.828807999999999</v>
      </c>
      <c r="J67" s="27">
        <f>_xlfn.IFNA(VLOOKUP(A67,[1]IRESS!$A$10:$F$875,5,FALSE),"n/a")</f>
        <v>69259425.034999996</v>
      </c>
      <c r="K67" s="28">
        <f>_xlfn.IFNA(VLOOKUP(A67,[1]IRESS!$A$11:$G$684,7,FALSE),"n/a")</f>
        <v>1125025</v>
      </c>
      <c r="L67" s="27">
        <f>_xlfn.IFNA(VLOOKUP(A67,[1]IRESS!$A$10:$F$875,4,FALSE),"n/a")</f>
        <v>1919</v>
      </c>
      <c r="M67" s="29">
        <f t="shared" si="0"/>
        <v>9.0836203638130761E-2</v>
      </c>
      <c r="N67" s="30">
        <f>_xlfn.IFNA(VLOOKUP(A67,[1]Spreads!$A$1:$G$279,2,FALSE),"n/a")</f>
        <v>9.7549165849080603E-4</v>
      </c>
      <c r="O67" s="28">
        <f>IFERROR(VLOOKUP(A67,[1]Spreads!$A$1:$G$279,5,FALSE)/1000,"n/a")</f>
        <v>1092.24184646756</v>
      </c>
      <c r="P67" s="31">
        <f>IFERROR(VLOOKUP(A67,[1]Spreads!$A$1:$G$279,6,FALSE)/1000,"n/a")</f>
        <v>798.78571411449104</v>
      </c>
      <c r="Q67" s="9"/>
      <c r="R67" s="32">
        <f>_xlfn.IFNA(VLOOKUP($A67,[1]IRESS!$A$11:$AE$696,6,FALSE)/100,"n/a")</f>
        <v>60.34</v>
      </c>
      <c r="S67" s="33">
        <f>_xlfn.IFNA(VLOOKUP($A67,[1]IRESS!$A$11:$AE$696,21,FALSE)/100,"n/a")</f>
        <v>64.7</v>
      </c>
      <c r="T67" s="32">
        <f>_xlfn.IFNA(VLOOKUP($A67,[1]IRESS!$A$11:$AE$696,22,FALSE)/100,"n/a")</f>
        <v>56.41</v>
      </c>
      <c r="V67" s="34">
        <f>IFERROR((VLOOKUP($A67,[1]IRESS!$A$11:$AE$696,20,FALSE)/100)/R67,"n/a")</f>
        <v>2.5385830294995027E-2</v>
      </c>
      <c r="W67" s="35">
        <f>IFERROR(VLOOKUP($A67,[1]Morningstar!$A$2:$F$477,3,FALSE),"n/a")</f>
        <v>-6.7999999999999996E-3</v>
      </c>
      <c r="X67" s="34">
        <f>IFERROR(VLOOKUP($A67,[1]Morningstar!$A$2:$F$477,4,FALSE),"n/a")</f>
        <v>6.9800000000000001E-2</v>
      </c>
      <c r="Y67" s="35">
        <f>IFERROR(VLOOKUP($A67,[1]Morningstar!$A$2:$F$477,5,FALSE),"n/a")</f>
        <v>4.07E-2</v>
      </c>
      <c r="Z67" s="34">
        <f>IFERROR(VLOOKUP($A67,[1]Morningstar!$A$2:$F$477,6,FALSE),"n/a")</f>
        <v>9.6100000000000005E-2</v>
      </c>
    </row>
    <row r="68" spans="1:26">
      <c r="A68" s="21" t="s">
        <v>84</v>
      </c>
      <c r="B68" s="22" t="s">
        <v>28</v>
      </c>
      <c r="C68" s="46" t="str">
        <f>VLOOKUP(A68,'[1]ETF List'!$A$3:$B$185,2,FALSE)</f>
        <v>iShares Global 100 AUD Hedged ETF</v>
      </c>
      <c r="D68" s="24"/>
      <c r="E68" s="7"/>
      <c r="F68" s="25">
        <f>_xlfn.IFNA(VLOOKUP(A68,'[1]ETF List'!$A$2:$I$180,6,FALSE),"n/a")</f>
        <v>0.43</v>
      </c>
      <c r="G68" s="26">
        <f>_xlfn.IFNA(VLOOKUP(A68,'[1]ETF List'!$A$2:$J$180,8,FALSE)/1000000,"n/a")</f>
        <v>36.853322519999999</v>
      </c>
      <c r="H68" s="25">
        <f>_xlfn.IFNA(VLOOKUP(A68,'[1]ETF List'!$A$2:$N$180,14,FALSE)/1000000,"n/a")</f>
        <v>-0.18132016000000387</v>
      </c>
      <c r="I68" s="26">
        <f>_xlfn.IFNA(VLOOKUP(A68,'[1]ETF List'!$A:$R,18,FALSE)/1000000,"n/a")</f>
        <v>0</v>
      </c>
      <c r="J68" s="27">
        <f>_xlfn.IFNA(VLOOKUP(A68,[1]IRESS!$A$10:$F$875,5,FALSE),"n/a")</f>
        <v>1534122.24</v>
      </c>
      <c r="K68" s="28">
        <f>_xlfn.IFNA(VLOOKUP(A68,[1]IRESS!$A$11:$G$684,7,FALSE),"n/a")</f>
        <v>13368</v>
      </c>
      <c r="L68" s="27">
        <f>_xlfn.IFNA(VLOOKUP(A68,[1]IRESS!$A$10:$F$875,4,FALSE),"n/a")</f>
        <v>99</v>
      </c>
      <c r="M68" s="29">
        <f t="shared" si="0"/>
        <v>4.1627786454462676E-2</v>
      </c>
      <c r="N68" s="30">
        <f>_xlfn.IFNA(VLOOKUP(A68,[1]Spreads!$A$1:$G$279,2,FALSE),"n/a")</f>
        <v>3.5728902964868199E-3</v>
      </c>
      <c r="O68" s="28">
        <f>IFERROR(VLOOKUP(A68,[1]Spreads!$A$1:$G$279,5,FALSE)/1000,"n/a")</f>
        <v>459.40502320274601</v>
      </c>
      <c r="P68" s="31">
        <f>IFERROR(VLOOKUP(A68,[1]Spreads!$A$1:$G$279,6,FALSE)/1000,"n/a")</f>
        <v>276.24859568189999</v>
      </c>
      <c r="Q68" s="9"/>
      <c r="R68" s="32">
        <f>_xlfn.IFNA(VLOOKUP($A68,[1]IRESS!$A$11:$AE$696,6,FALSE)/100,"n/a")</f>
        <v>113.82</v>
      </c>
      <c r="S68" s="33">
        <f>_xlfn.IFNA(VLOOKUP($A68,[1]IRESS!$A$11:$AE$696,21,FALSE)/100,"n/a")</f>
        <v>120</v>
      </c>
      <c r="T68" s="32">
        <f>_xlfn.IFNA(VLOOKUP($A68,[1]IRESS!$A$11:$AE$696,22,FALSE)/100,"n/a")</f>
        <v>102</v>
      </c>
      <c r="V68" s="34">
        <f>IFERROR((VLOOKUP($A68,[1]IRESS!$A$11:$AE$696,20,FALSE)/100)/R68,"n/a")</f>
        <v>5.5971393428220002E-2</v>
      </c>
      <c r="W68" s="35">
        <f>IFERROR(VLOOKUP($A68,[1]Morningstar!$A$2:$F$477,3,FALSE),"n/a")</f>
        <v>-8.9999999999999998E-4</v>
      </c>
      <c r="X68" s="34">
        <f>IFERROR(VLOOKUP($A68,[1]Morningstar!$A$2:$F$477,4,FALSE),"n/a")</f>
        <v>0.1069</v>
      </c>
      <c r="Y68" s="35">
        <f>IFERROR(VLOOKUP($A68,[1]Morningstar!$A$2:$F$477,5,FALSE),"n/a")</f>
        <v>0.10290000000000001</v>
      </c>
      <c r="Z68" s="34" t="str">
        <f>IFERROR(VLOOKUP($A68,[1]Morningstar!$A$2:$F$477,6,FALSE),"n/a")</f>
        <v>n/a</v>
      </c>
    </row>
    <row r="69" spans="1:26">
      <c r="A69" s="21" t="s">
        <v>85</v>
      </c>
      <c r="B69" s="22" t="s">
        <v>28</v>
      </c>
      <c r="C69" s="46" t="str">
        <f>VLOOKUP(A69,'[1]ETF List'!$A$3:$B$185,2,FALSE)</f>
        <v>iShares S&amp;P 500 AUD Hedged ETF</v>
      </c>
      <c r="D69" s="24"/>
      <c r="E69" s="7"/>
      <c r="F69" s="25">
        <f>_xlfn.IFNA(VLOOKUP(A69,'[1]ETF List'!$A$2:$I$180,6,FALSE),"n/a")</f>
        <v>0.1</v>
      </c>
      <c r="G69" s="26">
        <f>_xlfn.IFNA(VLOOKUP(A69,'[1]ETF List'!$A$2:$J$180,8,FALSE)/1000000,"n/a")</f>
        <v>107.8461748</v>
      </c>
      <c r="H69" s="25">
        <f>_xlfn.IFNA(VLOOKUP(A69,'[1]ETF List'!$A$2:$N$180,14,FALSE)/1000000,"n/a")</f>
        <v>-3.1162700100000054</v>
      </c>
      <c r="I69" s="26">
        <f>_xlfn.IFNA(VLOOKUP(A69,'[1]ETF List'!$A:$R,18,FALSE)/1000000,"n/a")</f>
        <v>-3.1704400000000001</v>
      </c>
      <c r="J69" s="27">
        <f>_xlfn.IFNA(VLOOKUP(A69,[1]IRESS!$A$10:$F$875,5,FALSE),"n/a")</f>
        <v>11835741.342600001</v>
      </c>
      <c r="K69" s="28">
        <f>_xlfn.IFNA(VLOOKUP(A69,[1]IRESS!$A$11:$G$684,7,FALSE),"n/a")</f>
        <v>33511</v>
      </c>
      <c r="L69" s="27">
        <f>_xlfn.IFNA(VLOOKUP(A69,[1]IRESS!$A$10:$F$875,4,FALSE),"n/a")</f>
        <v>349</v>
      </c>
      <c r="M69" s="29">
        <f t="shared" si="0"/>
        <v>0.10974651038434421</v>
      </c>
      <c r="N69" s="30">
        <f>_xlfn.IFNA(VLOOKUP(A69,[1]Spreads!$A$1:$G$279,2,FALSE),"n/a")</f>
        <v>1.3428276974548499E-3</v>
      </c>
      <c r="O69" s="28">
        <f>IFERROR(VLOOKUP(A69,[1]Spreads!$A$1:$G$279,5,FALSE)/1000,"n/a")</f>
        <v>1517.18257742282</v>
      </c>
      <c r="P69" s="31">
        <f>IFERROR(VLOOKUP(A69,[1]Spreads!$A$1:$G$279,6,FALSE)/1000,"n/a")</f>
        <v>1277.6889440954199</v>
      </c>
      <c r="Q69" s="9"/>
      <c r="R69" s="32">
        <f>_xlfn.IFNA(VLOOKUP($A69,[1]IRESS!$A$11:$AE$696,6,FALSE)/100,"n/a")</f>
        <v>348.4</v>
      </c>
      <c r="S69" s="33">
        <f>_xlfn.IFNA(VLOOKUP($A69,[1]IRESS!$A$11:$AE$696,21,FALSE)/100,"n/a")</f>
        <v>366.37</v>
      </c>
      <c r="T69" s="32">
        <f>_xlfn.IFNA(VLOOKUP($A69,[1]IRESS!$A$11:$AE$696,22,FALSE)/100,"n/a")</f>
        <v>304.49</v>
      </c>
      <c r="V69" s="34">
        <f>IFERROR((VLOOKUP($A69,[1]IRESS!$A$11:$AE$696,20,FALSE)/100)/R69,"n/a")</f>
        <v>1.6246814006888634E-2</v>
      </c>
      <c r="W69" s="35">
        <f>IFERROR(VLOOKUP($A69,[1]Morningstar!$A$2:$F$477,3,FALSE),"n/a")</f>
        <v>3.8999999999999998E-3</v>
      </c>
      <c r="X69" s="34">
        <f>IFERROR(VLOOKUP($A69,[1]Morningstar!$A$2:$F$477,4,FALSE),"n/a")</f>
        <v>0.1371</v>
      </c>
      <c r="Y69" s="35">
        <f>IFERROR(VLOOKUP($A69,[1]Morningstar!$A$2:$F$477,5,FALSE),"n/a")</f>
        <v>0.11840000000000001</v>
      </c>
      <c r="Z69" s="34" t="str">
        <f>IFERROR(VLOOKUP($A69,[1]Morningstar!$A$2:$F$477,6,FALSE),"n/a")</f>
        <v>n/a</v>
      </c>
    </row>
    <row r="70" spans="1:26">
      <c r="A70" s="21" t="s">
        <v>86</v>
      </c>
      <c r="B70" s="22" t="s">
        <v>28</v>
      </c>
      <c r="C70" s="46" t="str">
        <f>VLOOKUP(A70,'[1]ETF List'!$A$3:$B$185,2,FALSE)</f>
        <v>iShares Core MSCI World All Cap AUD Hedged ETF</v>
      </c>
      <c r="D70" s="24"/>
      <c r="E70" s="7"/>
      <c r="F70" s="25">
        <f>_xlfn.IFNA(VLOOKUP(A70,'[1]ETF List'!$A$2:$I$180,6,FALSE),"n/a")</f>
        <v>0.19</v>
      </c>
      <c r="G70" s="26">
        <f>_xlfn.IFNA(VLOOKUP(A70,'[1]ETF List'!$A$2:$J$180,8,FALSE)/1000000,"n/a")</f>
        <v>12.027311730000001</v>
      </c>
      <c r="H70" s="25">
        <f>_xlfn.IFNA(VLOOKUP(A70,'[1]ETF List'!$A$2:$N$180,14,FALSE)/1000000,"n/a")</f>
        <v>-4.6826910000000152E-2</v>
      </c>
      <c r="I70" s="26">
        <f>_xlfn.IFNA(VLOOKUP(A70,'[1]ETF List'!$A:$R,18,FALSE)/1000000,"n/a")</f>
        <v>0</v>
      </c>
      <c r="J70" s="27">
        <f>_xlfn.IFNA(VLOOKUP(A70,[1]IRESS!$A$10:$F$875,5,FALSE),"n/a")</f>
        <v>1315180.44</v>
      </c>
      <c r="K70" s="28">
        <f>_xlfn.IFNA(VLOOKUP(A70,[1]IRESS!$A$11:$G$684,7,FALSE),"n/a")</f>
        <v>38795</v>
      </c>
      <c r="L70" s="27">
        <f>_xlfn.IFNA(VLOOKUP(A70,[1]IRESS!$A$10:$F$875,4,FALSE),"n/a")</f>
        <v>55</v>
      </c>
      <c r="M70" s="29">
        <f t="shared" si="0"/>
        <v>0.10934949301426312</v>
      </c>
      <c r="N70" s="30">
        <f>_xlfn.IFNA(VLOOKUP(A70,[1]Spreads!$A$1:$G$279,2,FALSE),"n/a")</f>
        <v>3.5697776622447804E-3</v>
      </c>
      <c r="O70" s="28">
        <f>IFERROR(VLOOKUP(A70,[1]Spreads!$A$1:$G$279,5,FALSE)/1000,"n/a")</f>
        <v>1026.1215858292599</v>
      </c>
      <c r="P70" s="31">
        <f>IFERROR(VLOOKUP(A70,[1]Spreads!$A$1:$G$279,6,FALSE)/1000,"n/a")</f>
        <v>1031.33123848331</v>
      </c>
      <c r="Q70" s="9"/>
      <c r="R70" s="32">
        <f>_xlfn.IFNA(VLOOKUP($A70,[1]IRESS!$A$11:$AE$696,6,FALSE)/100,"n/a")</f>
        <v>33.39</v>
      </c>
      <c r="S70" s="33">
        <f>_xlfn.IFNA(VLOOKUP($A70,[1]IRESS!$A$11:$AE$696,21,FALSE)/100,"n/a")</f>
        <v>34.630000000000003</v>
      </c>
      <c r="T70" s="32">
        <f>_xlfn.IFNA(VLOOKUP($A70,[1]IRESS!$A$11:$AE$696,22,FALSE)/100,"n/a")</f>
        <v>29.81</v>
      </c>
      <c r="V70" s="34">
        <f>IFERROR((VLOOKUP($A70,[1]IRESS!$A$11:$AE$696,20,FALSE)/100)/R70,"n/a")</f>
        <v>1.5185594489368074E-2</v>
      </c>
      <c r="W70" s="35">
        <f>IFERROR(VLOOKUP($A70,[1]Morningstar!$A$2:$F$477,3,FALSE),"n/a")</f>
        <v>-4.7999999999999996E-3</v>
      </c>
      <c r="X70" s="34">
        <f>IFERROR(VLOOKUP($A70,[1]Morningstar!$A$2:$F$477,4,FALSE),"n/a")</f>
        <v>0.11070000000000001</v>
      </c>
      <c r="Y70" s="35" t="str">
        <f>IFERROR(VLOOKUP($A70,[1]Morningstar!$A$2:$F$477,5,FALSE),"n/a")</f>
        <v>n/a</v>
      </c>
      <c r="Z70" s="34" t="str">
        <f>IFERROR(VLOOKUP($A70,[1]Morningstar!$A$2:$F$477,6,FALSE),"n/a")</f>
        <v>n/a</v>
      </c>
    </row>
    <row r="71" spans="1:26">
      <c r="A71" s="21" t="s">
        <v>87</v>
      </c>
      <c r="B71" s="22" t="s">
        <v>28</v>
      </c>
      <c r="C71" s="46" t="str">
        <f>VLOOKUP(A71,'[1]ETF List'!$A$3:$B$185,2,FALSE)</f>
        <v>iShares S&amp;P Midcap ETF</v>
      </c>
      <c r="D71" s="24"/>
      <c r="E71" s="7"/>
      <c r="F71" s="25">
        <f>_xlfn.IFNA(VLOOKUP(A71,'[1]ETF List'!$A$2:$I$180,6,FALSE),"n/a")</f>
        <v>7.0000000000000007E-2</v>
      </c>
      <c r="G71" s="26">
        <f>_xlfn.IFNA(VLOOKUP(A71,'[1]ETF List'!$A$2:$J$180,8,FALSE)/1000000,"n/a")</f>
        <v>143.26617084</v>
      </c>
      <c r="H71" s="25">
        <f>_xlfn.IFNA(VLOOKUP(A71,'[1]ETF List'!$A$2:$N$180,14,FALSE)/1000000,"n/a")</f>
        <v>1.9189140400000215</v>
      </c>
      <c r="I71" s="26">
        <f>_xlfn.IFNA(VLOOKUP(A71,'[1]ETF List'!$A:$R,18,FALSE)/1000000,"n/a")</f>
        <v>0.25823979999999996</v>
      </c>
      <c r="J71" s="27">
        <f>_xlfn.IFNA(VLOOKUP(A71,[1]IRESS!$A$10:$F$875,5,FALSE),"n/a")</f>
        <v>13306204.610000003</v>
      </c>
      <c r="K71" s="28">
        <f>_xlfn.IFNA(VLOOKUP(A71,[1]IRESS!$A$11:$G$684,7,FALSE),"n/a")</f>
        <v>50215</v>
      </c>
      <c r="L71" s="27">
        <f>_xlfn.IFNA(VLOOKUP(A71,[1]IRESS!$A$10:$F$875,4,FALSE),"n/a")</f>
        <v>283</v>
      </c>
      <c r="M71" s="29">
        <f t="shared" si="0"/>
        <v>9.2877505778111449E-2</v>
      </c>
      <c r="N71" s="30">
        <f>_xlfn.IFNA(VLOOKUP(A71,[1]Spreads!$A$1:$G$279,2,FALSE),"n/a")</f>
        <v>1.7181813239426E-3</v>
      </c>
      <c r="O71" s="28">
        <f>IFERROR(VLOOKUP(A71,[1]Spreads!$A$1:$G$279,5,FALSE)/1000,"n/a")</f>
        <v>2680.7321152715904</v>
      </c>
      <c r="P71" s="31">
        <f>IFERROR(VLOOKUP(A71,[1]Spreads!$A$1:$G$279,6,FALSE)/1000,"n/a")</f>
        <v>769.6077347154129</v>
      </c>
      <c r="Q71" s="9"/>
      <c r="R71" s="32">
        <f>_xlfn.IFNA(VLOOKUP($A71,[1]IRESS!$A$11:$AE$696,6,FALSE)/100,"n/a")</f>
        <v>263.51</v>
      </c>
      <c r="S71" s="33">
        <f>_xlfn.IFNA(VLOOKUP($A71,[1]IRESS!$A$11:$AE$696,21,FALSE)/100,"n/a")</f>
        <v>273.8</v>
      </c>
      <c r="T71" s="32">
        <f>_xlfn.IFNA(VLOOKUP($A71,[1]IRESS!$A$11:$AE$696,22,FALSE)/100,"n/a")</f>
        <v>210.66</v>
      </c>
      <c r="V71" s="34">
        <f>IFERROR((VLOOKUP($A71,[1]IRESS!$A$11:$AE$696,20,FALSE)/100)/R71,"n/a")</f>
        <v>1.1176850973397594E-2</v>
      </c>
      <c r="W71" s="35">
        <f>IFERROR(VLOOKUP($A71,[1]Morningstar!$A$2:$F$477,3,FALSE),"n/a")</f>
        <v>2.4400000000000002E-2</v>
      </c>
      <c r="X71" s="34">
        <f>IFERROR(VLOOKUP($A71,[1]Morningstar!$A$2:$F$477,4,FALSE),"n/a")</f>
        <v>0.1802</v>
      </c>
      <c r="Y71" s="35">
        <f>IFERROR(VLOOKUP($A71,[1]Morningstar!$A$2:$F$477,5,FALSE),"n/a")</f>
        <v>0.1178</v>
      </c>
      <c r="Z71" s="34">
        <f>IFERROR(VLOOKUP($A71,[1]Morningstar!$A$2:$F$477,6,FALSE),"n/a")</f>
        <v>0.17419999999999999</v>
      </c>
    </row>
    <row r="72" spans="1:26">
      <c r="A72" s="21" t="s">
        <v>88</v>
      </c>
      <c r="B72" s="22" t="s">
        <v>28</v>
      </c>
      <c r="C72" s="46" t="str">
        <f>VLOOKUP(A72,'[1]ETF List'!$A$3:$B$185,2,FALSE)</f>
        <v>iShares MSCI Japan ETF</v>
      </c>
      <c r="D72" s="24"/>
      <c r="E72" s="7"/>
      <c r="F72" s="25">
        <f>_xlfn.IFNA(VLOOKUP(A72,'[1]ETF List'!$A$2:$I$180,6,FALSE),"n/a")</f>
        <v>0.48</v>
      </c>
      <c r="G72" s="26">
        <f>_xlfn.IFNA(VLOOKUP(A72,'[1]ETF List'!$A$2:$J$180,8,FALSE)/1000000,"n/a")</f>
        <v>262.70816256000001</v>
      </c>
      <c r="H72" s="25">
        <f>_xlfn.IFNA(VLOOKUP(A72,'[1]ETF List'!$A$2:$N$180,14,FALSE)/1000000,"n/a")</f>
        <v>-0.72226535999998454</v>
      </c>
      <c r="I72" s="26">
        <f>_xlfn.IFNA(VLOOKUP(A72,'[1]ETF List'!$A:$R,18,FALSE)/1000000,"n/a")</f>
        <v>1.6653216</v>
      </c>
      <c r="J72" s="27">
        <f>_xlfn.IFNA(VLOOKUP(A72,[1]IRESS!$A$10:$F$875,5,FALSE),"n/a")</f>
        <v>15619548.884999998</v>
      </c>
      <c r="K72" s="28">
        <f>_xlfn.IFNA(VLOOKUP(A72,[1]IRESS!$A$11:$G$684,7,FALSE),"n/a")</f>
        <v>196162</v>
      </c>
      <c r="L72" s="27">
        <f>_xlfn.IFNA(VLOOKUP(A72,[1]IRESS!$A$10:$F$875,4,FALSE),"n/a")</f>
        <v>666</v>
      </c>
      <c r="M72" s="29">
        <f t="shared" si="0"/>
        <v>5.9455894833235885E-2</v>
      </c>
      <c r="N72" s="30">
        <f>_xlfn.IFNA(VLOOKUP(A72,[1]Spreads!$A$1:$G$279,2,FALSE),"n/a")</f>
        <v>1.56038571471874E-3</v>
      </c>
      <c r="O72" s="28">
        <f>IFERROR(VLOOKUP(A72,[1]Spreads!$A$1:$G$279,5,FALSE)/1000,"n/a")</f>
        <v>1203.0429267623499</v>
      </c>
      <c r="P72" s="31">
        <f>IFERROR(VLOOKUP(A72,[1]Spreads!$A$1:$G$279,6,FALSE)/1000,"n/a")</f>
        <v>912.67938985724402</v>
      </c>
      <c r="Q72" s="9"/>
      <c r="R72" s="32">
        <f>_xlfn.IFNA(VLOOKUP($A72,[1]IRESS!$A$11:$AE$696,6,FALSE)/100,"n/a")</f>
        <v>78.72</v>
      </c>
      <c r="S72" s="33">
        <f>_xlfn.IFNA(VLOOKUP($A72,[1]IRESS!$A$11:$AE$696,21,FALSE)/100,"n/a")</f>
        <v>82.48</v>
      </c>
      <c r="T72" s="32">
        <f>_xlfn.IFNA(VLOOKUP($A72,[1]IRESS!$A$11:$AE$696,22,FALSE)/100,"n/a")</f>
        <v>67.650000000000006</v>
      </c>
      <c r="V72" s="34">
        <f>IFERROR((VLOOKUP($A72,[1]IRESS!$A$11:$AE$696,20,FALSE)/100)/R72,"n/a")</f>
        <v>1.2102083333333333E-2</v>
      </c>
      <c r="W72" s="35">
        <f>IFERROR(VLOOKUP($A72,[1]Morningstar!$A$2:$F$477,3,FALSE),"n/a")</f>
        <v>-1.01E-2</v>
      </c>
      <c r="X72" s="34">
        <f>IFERROR(VLOOKUP($A72,[1]Morningstar!$A$2:$F$477,4,FALSE),"n/a")</f>
        <v>0.14480000000000001</v>
      </c>
      <c r="Y72" s="35">
        <f>IFERROR(VLOOKUP($A72,[1]Morningstar!$A$2:$F$477,5,FALSE),"n/a")</f>
        <v>7.0699999999999999E-2</v>
      </c>
      <c r="Z72" s="34">
        <f>IFERROR(VLOOKUP($A72,[1]Morningstar!$A$2:$F$477,6,FALSE),"n/a")</f>
        <v>0.11609999999999999</v>
      </c>
    </row>
    <row r="73" spans="1:26">
      <c r="A73" s="21" t="s">
        <v>89</v>
      </c>
      <c r="B73" s="22" t="s">
        <v>28</v>
      </c>
      <c r="C73" s="46" t="str">
        <f>VLOOKUP(A73,'[1]ETF List'!$A$3:$B$185,2,FALSE)</f>
        <v>iShares S&amp;P Small-Cap ETF</v>
      </c>
      <c r="D73" s="24"/>
      <c r="E73" s="7"/>
      <c r="F73" s="25">
        <f>_xlfn.IFNA(VLOOKUP(A73,'[1]ETF List'!$A$2:$I$180,6,FALSE),"n/a")</f>
        <v>7.0000000000000007E-2</v>
      </c>
      <c r="G73" s="26">
        <f>_xlfn.IFNA(VLOOKUP(A73,'[1]ETF List'!$A$2:$J$180,8,FALSE)/1000000,"n/a")</f>
        <v>165.63596477999999</v>
      </c>
      <c r="H73" s="25">
        <f>_xlfn.IFNA(VLOOKUP(A73,'[1]ETF List'!$A$2:$N$180,14,FALSE)/1000000,"n/a")</f>
        <v>34.811403300000009</v>
      </c>
      <c r="I73" s="26">
        <f>_xlfn.IFNA(VLOOKUP(A73,'[1]ETF List'!$A:$R,18,FALSE)/1000000,"n/a")</f>
        <v>30.738630000000001</v>
      </c>
      <c r="J73" s="27">
        <f>_xlfn.IFNA(VLOOKUP(A73,[1]IRESS!$A$10:$F$875,5,FALSE),"n/a")</f>
        <v>32951642.569999993</v>
      </c>
      <c r="K73" s="28">
        <f>_xlfn.IFNA(VLOOKUP(A73,[1]IRESS!$A$11:$G$684,7,FALSE),"n/a")</f>
        <v>290511</v>
      </c>
      <c r="L73" s="27">
        <f>_xlfn.IFNA(VLOOKUP(A73,[1]IRESS!$A$10:$F$875,4,FALSE),"n/a")</f>
        <v>753</v>
      </c>
      <c r="M73" s="29">
        <f t="shared" si="0"/>
        <v>0.1989401433062368</v>
      </c>
      <c r="N73" s="30">
        <f>_xlfn.IFNA(VLOOKUP(A73,[1]Spreads!$A$1:$G$279,2,FALSE),"n/a")</f>
        <v>4.1839045201159299E-3</v>
      </c>
      <c r="O73" s="28">
        <f>IFERROR(VLOOKUP(A73,[1]Spreads!$A$1:$G$279,5,FALSE)/1000,"n/a")</f>
        <v>404.30720993759599</v>
      </c>
      <c r="P73" s="31">
        <f>IFERROR(VLOOKUP(A73,[1]Spreads!$A$1:$G$279,6,FALSE)/1000,"n/a")</f>
        <v>363.099536759751</v>
      </c>
      <c r="Q73" s="9"/>
      <c r="R73" s="32">
        <f>_xlfn.IFNA(VLOOKUP($A73,[1]IRESS!$A$11:$AE$696,6,FALSE)/100,"n/a")</f>
        <v>114.27</v>
      </c>
      <c r="S73" s="33">
        <f>_xlfn.IFNA(VLOOKUP($A73,[1]IRESS!$A$11:$AE$696,21,FALSE)/100,"n/a")</f>
        <v>118.64</v>
      </c>
      <c r="T73" s="32">
        <f>_xlfn.IFNA(VLOOKUP($A73,[1]IRESS!$A$11:$AE$696,22,FALSE)/100,"n/a")</f>
        <v>84.4</v>
      </c>
      <c r="V73" s="34">
        <f>IFERROR((VLOOKUP($A73,[1]IRESS!$A$11:$AE$696,20,FALSE)/100)/R73,"n/a")</f>
        <v>9.3742102039030377E-3</v>
      </c>
      <c r="W73" s="35">
        <f>IFERROR(VLOOKUP($A73,[1]Morningstar!$A$2:$F$477,3,FALSE),"n/a")</f>
        <v>4.7399999999999998E-2</v>
      </c>
      <c r="X73" s="34">
        <f>IFERROR(VLOOKUP($A73,[1]Morningstar!$A$2:$F$477,4,FALSE),"n/a")</f>
        <v>0.25890000000000002</v>
      </c>
      <c r="Y73" s="35">
        <f>IFERROR(VLOOKUP($A73,[1]Morningstar!$A$2:$F$477,5,FALSE),"n/a")</f>
        <v>0.1537</v>
      </c>
      <c r="Z73" s="34">
        <f>IFERROR(VLOOKUP($A73,[1]Morningstar!$A$2:$F$477,6,FALSE),"n/a")</f>
        <v>0.1963</v>
      </c>
    </row>
    <row r="74" spans="1:26">
      <c r="A74" s="21" t="s">
        <v>90</v>
      </c>
      <c r="B74" s="22" t="s">
        <v>28</v>
      </c>
      <c r="C74" s="46" t="str">
        <f>VLOOKUP(A74,'[1]ETF List'!$A$3:$B$185,2,FALSE)</f>
        <v>iShares S&amp;P Global 100 ETF</v>
      </c>
      <c r="D74" s="24"/>
      <c r="E74" s="7"/>
      <c r="F74" s="25">
        <f>_xlfn.IFNA(VLOOKUP(A74,'[1]ETF List'!$A$2:$I$180,6,FALSE),"n/a")</f>
        <v>0.4</v>
      </c>
      <c r="G74" s="26">
        <f>_xlfn.IFNA(VLOOKUP(A74,'[1]ETF List'!$A$2:$J$180,8,FALSE)/1000000,"n/a")</f>
        <v>1404.2047187999999</v>
      </c>
      <c r="H74" s="25">
        <f>_xlfn.IFNA(VLOOKUP(A74,'[1]ETF List'!$A$2:$N$180,14,FALSE)/1000000,"n/a")</f>
        <v>9.6785130000000006</v>
      </c>
      <c r="I74" s="26">
        <f>_xlfn.IFNA(VLOOKUP(A74,'[1]ETF List'!$A:$R,18,FALSE)/1000000,"n/a")</f>
        <v>4.0235000000000003</v>
      </c>
      <c r="J74" s="27">
        <f>_xlfn.IFNA(VLOOKUP(A74,[1]IRESS!$A$10:$F$875,5,FALSE),"n/a")</f>
        <v>32966611.679999992</v>
      </c>
      <c r="K74" s="28">
        <f>_xlfn.IFNA(VLOOKUP(A74,[1]IRESS!$A$11:$G$684,7,FALSE),"n/a")</f>
        <v>528184</v>
      </c>
      <c r="L74" s="27">
        <f>_xlfn.IFNA(VLOOKUP(A74,[1]IRESS!$A$10:$F$875,4,FALSE),"n/a")</f>
        <v>2026</v>
      </c>
      <c r="M74" s="29">
        <f t="shared" si="0"/>
        <v>2.3477069431993132E-2</v>
      </c>
      <c r="N74" s="30">
        <f>_xlfn.IFNA(VLOOKUP(A74,[1]Spreads!$A$1:$G$279,2,FALSE),"n/a")</f>
        <v>1.2025538260416401E-3</v>
      </c>
      <c r="O74" s="28">
        <f>IFERROR(VLOOKUP(A74,[1]Spreads!$A$1:$G$279,5,FALSE)/1000,"n/a")</f>
        <v>714.87571323089696</v>
      </c>
      <c r="P74" s="31">
        <f>IFERROR(VLOOKUP(A74,[1]Spreads!$A$1:$G$279,6,FALSE)/1000,"n/a")</f>
        <v>593.42049940728498</v>
      </c>
      <c r="Q74" s="9"/>
      <c r="R74" s="32">
        <f>_xlfn.IFNA(VLOOKUP($A74,[1]IRESS!$A$11:$AE$696,6,FALSE)/100,"n/a")</f>
        <v>61.9</v>
      </c>
      <c r="S74" s="33">
        <f>_xlfn.IFNA(VLOOKUP($A74,[1]IRESS!$A$11:$AE$696,21,FALSE)/100,"n/a")</f>
        <v>72.48</v>
      </c>
      <c r="T74" s="32">
        <f>_xlfn.IFNA(VLOOKUP($A74,[1]IRESS!$A$11:$AE$696,22,FALSE)/100,"n/a")</f>
        <v>53.484999999999999</v>
      </c>
      <c r="V74" s="34">
        <f>IFERROR((VLOOKUP($A74,[1]IRESS!$A$11:$AE$696,20,FALSE)/100)/R74,"n/a")</f>
        <v>1.8741623586429723E-2</v>
      </c>
      <c r="W74" s="35">
        <f>IFERROR(VLOOKUP($A74,[1]Morningstar!$A$2:$F$477,3,FALSE),"n/a")</f>
        <v>9.5999999999999992E-3</v>
      </c>
      <c r="X74" s="34">
        <f>IFERROR(VLOOKUP($A74,[1]Morningstar!$A$2:$F$477,4,FALSE),"n/a")</f>
        <v>0.15049999999999999</v>
      </c>
      <c r="Y74" s="35">
        <f>IFERROR(VLOOKUP($A74,[1]Morningstar!$A$2:$F$477,5,FALSE),"n/a")</f>
        <v>0.10349999999999999</v>
      </c>
      <c r="Z74" s="34">
        <f>IFERROR(VLOOKUP($A74,[1]Morningstar!$A$2:$F$477,6,FALSE),"n/a")</f>
        <v>0.13469999999999999</v>
      </c>
    </row>
    <row r="75" spans="1:26">
      <c r="A75" s="21" t="s">
        <v>91</v>
      </c>
      <c r="B75" s="22" t="s">
        <v>28</v>
      </c>
      <c r="C75" s="46" t="str">
        <f>VLOOKUP(A75,'[1]ETF List'!$A$3:$B$185,2,FALSE)</f>
        <v>iShares MSCI EAFE ETF</v>
      </c>
      <c r="D75" s="24"/>
      <c r="E75" s="7"/>
      <c r="F75" s="25">
        <f>_xlfn.IFNA(VLOOKUP(A75,'[1]ETF List'!$A$2:$I$180,6,FALSE),"n/a")</f>
        <v>0.33</v>
      </c>
      <c r="G75" s="26">
        <f>_xlfn.IFNA(VLOOKUP(A75,'[1]ETF List'!$A$2:$J$180,8,FALSE)/1000000,"n/a")</f>
        <v>330.60807045000001</v>
      </c>
      <c r="H75" s="25">
        <f>_xlfn.IFNA(VLOOKUP(A75,'[1]ETF List'!$A$2:$N$180,14,FALSE)/1000000,"n/a")</f>
        <v>4.2394239499999884</v>
      </c>
      <c r="I75" s="26">
        <f>_xlfn.IFNA(VLOOKUP(A75,'[1]ETF List'!$A:$R,18,FALSE)/1000000,"n/a")</f>
        <v>8.8715250000000001</v>
      </c>
      <c r="J75" s="27">
        <f>_xlfn.IFNA(VLOOKUP(A75,[1]IRESS!$A$10:$F$875,5,FALSE),"n/a")</f>
        <v>22677465.195000004</v>
      </c>
      <c r="K75" s="28">
        <f>_xlfn.IFNA(VLOOKUP(A75,[1]IRESS!$A$11:$G$684,7,FALSE),"n/a")</f>
        <v>246985</v>
      </c>
      <c r="L75" s="27">
        <f>_xlfn.IFNA(VLOOKUP(A75,[1]IRESS!$A$10:$F$875,4,FALSE),"n/a")</f>
        <v>546</v>
      </c>
      <c r="M75" s="29">
        <f t="shared" si="0"/>
        <v>6.8593199083534367E-2</v>
      </c>
      <c r="N75" s="30">
        <f>_xlfn.IFNA(VLOOKUP(A75,[1]Spreads!$A$1:$G$279,2,FALSE),"n/a")</f>
        <v>2.0544479506509898E-3</v>
      </c>
      <c r="O75" s="28">
        <f>IFERROR(VLOOKUP(A75,[1]Spreads!$A$1:$G$279,5,FALSE)/1000,"n/a")</f>
        <v>1083.68622310258</v>
      </c>
      <c r="P75" s="31">
        <f>IFERROR(VLOOKUP(A75,[1]Spreads!$A$1:$G$279,6,FALSE)/1000,"n/a")</f>
        <v>860.21761861941502</v>
      </c>
      <c r="Q75" s="9"/>
      <c r="R75" s="32">
        <f>_xlfn.IFNA(VLOOKUP($A75,[1]IRESS!$A$11:$AE$696,6,FALSE)/100,"n/a")</f>
        <v>90.99</v>
      </c>
      <c r="S75" s="33">
        <f>_xlfn.IFNA(VLOOKUP($A75,[1]IRESS!$A$11:$AE$696,21,FALSE)/100,"n/a")</f>
        <v>95.71</v>
      </c>
      <c r="T75" s="32">
        <f>_xlfn.IFNA(VLOOKUP($A75,[1]IRESS!$A$11:$AE$696,22,FALSE)/100,"n/a")</f>
        <v>83</v>
      </c>
      <c r="V75" s="34">
        <f>IFERROR((VLOOKUP($A75,[1]IRESS!$A$11:$AE$696,20,FALSE)/100)/R75,"n/a")</f>
        <v>2.5704494999450492E-2</v>
      </c>
      <c r="W75" s="35">
        <f>IFERROR(VLOOKUP($A75,[1]Morningstar!$A$2:$F$477,3,FALSE),"n/a")</f>
        <v>-5.0000000000000001E-3</v>
      </c>
      <c r="X75" s="34">
        <f>IFERROR(VLOOKUP($A75,[1]Morningstar!$A$2:$F$477,4,FALSE),"n/a")</f>
        <v>9.8500000000000004E-2</v>
      </c>
      <c r="Y75" s="35">
        <f>IFERROR(VLOOKUP($A75,[1]Morningstar!$A$2:$F$477,5,FALSE),"n/a")</f>
        <v>5.6500000000000002E-2</v>
      </c>
      <c r="Z75" s="34">
        <f>IFERROR(VLOOKUP($A75,[1]Morningstar!$A$2:$F$477,6,FALSE),"n/a")</f>
        <v>0.1045</v>
      </c>
    </row>
    <row r="76" spans="1:26">
      <c r="A76" s="21" t="s">
        <v>92</v>
      </c>
      <c r="B76" s="22" t="s">
        <v>28</v>
      </c>
      <c r="C76" s="46" t="str">
        <f>VLOOKUP(A76,'[1]ETF List'!$A$3:$B$185,2,FALSE)</f>
        <v>iShares S&amp;P 500 ETF</v>
      </c>
      <c r="D76" s="24"/>
      <c r="E76" s="7"/>
      <c r="F76" s="25">
        <f>_xlfn.IFNA(VLOOKUP(A76,'[1]ETF List'!$A$2:$I$180,6,FALSE),"n/a")</f>
        <v>0.04</v>
      </c>
      <c r="G76" s="26">
        <f>_xlfn.IFNA(VLOOKUP(A76,'[1]ETF List'!$A$2:$J$180,8,FALSE)/1000000,"n/a")</f>
        <v>2739.0821705100002</v>
      </c>
      <c r="H76" s="25">
        <f>_xlfn.IFNA(VLOOKUP(A76,'[1]ETF List'!$A$2:$N$180,14,FALSE)/1000000,"n/a")</f>
        <v>86.234830920000078</v>
      </c>
      <c r="I76" s="26">
        <f>_xlfn.IFNA(VLOOKUP(A76,'[1]ETF List'!$A:$R,18,FALSE)/1000000,"n/a")</f>
        <v>27.385142400000003</v>
      </c>
      <c r="J76" s="27">
        <f>_xlfn.IFNA(VLOOKUP(A76,[1]IRESS!$A$10:$F$875,5,FALSE),"n/a")</f>
        <v>94371426.999999985</v>
      </c>
      <c r="K76" s="28">
        <f>_xlfn.IFNA(VLOOKUP(A76,[1]IRESS!$A$11:$G$684,7,FALSE),"n/a")</f>
        <v>254735</v>
      </c>
      <c r="L76" s="27">
        <f>_xlfn.IFNA(VLOOKUP(A76,[1]IRESS!$A$10:$F$875,4,FALSE),"n/a")</f>
        <v>2642</v>
      </c>
      <c r="M76" s="29">
        <f t="shared" si="0"/>
        <v>3.4453667734410685E-2</v>
      </c>
      <c r="N76" s="30">
        <f>_xlfn.IFNA(VLOOKUP(A76,[1]Spreads!$A$1:$G$279,2,FALSE),"n/a")</f>
        <v>7.2296293280169001E-4</v>
      </c>
      <c r="O76" s="28">
        <f>IFERROR(VLOOKUP(A76,[1]Spreads!$A$1:$G$279,5,FALSE)/1000,"n/a")</f>
        <v>2581.4143388462098</v>
      </c>
      <c r="P76" s="31">
        <f>IFERROR(VLOOKUP(A76,[1]Spreads!$A$1:$G$279,6,FALSE)/1000,"n/a")</f>
        <v>1589.0820380770201</v>
      </c>
      <c r="Q76" s="9"/>
      <c r="R76" s="32">
        <f>_xlfn.IFNA(VLOOKUP($A76,[1]IRESS!$A$11:$AE$696,6,FALSE)/100,"n/a")</f>
        <v>370.47</v>
      </c>
      <c r="S76" s="33">
        <f>_xlfn.IFNA(VLOOKUP($A76,[1]IRESS!$A$11:$AE$696,21,FALSE)/100,"n/a")</f>
        <v>381.24</v>
      </c>
      <c r="T76" s="32">
        <f>_xlfn.IFNA(VLOOKUP($A76,[1]IRESS!$A$11:$AE$696,22,FALSE)/100,"n/a")</f>
        <v>305.79000000000002</v>
      </c>
      <c r="V76" s="34">
        <f>IFERROR((VLOOKUP($A76,[1]IRESS!$A$11:$AE$696,20,FALSE)/100)/R76,"n/a")</f>
        <v>1.4986390261019786E-2</v>
      </c>
      <c r="W76" s="35">
        <f>IFERROR(VLOOKUP($A76,[1]Morningstar!$A$2:$F$477,3,FALSE),"n/a")</f>
        <v>2.3800000000000002E-2</v>
      </c>
      <c r="X76" s="34">
        <f>IFERROR(VLOOKUP($A76,[1]Morningstar!$A$2:$F$477,4,FALSE),"n/a")</f>
        <v>0.18410000000000001</v>
      </c>
      <c r="Y76" s="35">
        <f>IFERROR(VLOOKUP($A76,[1]Morningstar!$A$2:$F$477,5,FALSE),"n/a")</f>
        <v>0.1303</v>
      </c>
      <c r="Z76" s="34">
        <f>IFERROR(VLOOKUP($A76,[1]Morningstar!$A$2:$F$477,6,FALSE),"n/a")</f>
        <v>0.18459999999999999</v>
      </c>
    </row>
    <row r="77" spans="1:26">
      <c r="A77" s="21" t="s">
        <v>93</v>
      </c>
      <c r="B77" s="22" t="s">
        <v>28</v>
      </c>
      <c r="C77" s="46" t="str">
        <f>VLOOKUP(A77,'[1]ETF List'!$A$3:$B$185,2,FALSE)</f>
        <v>iShares Core MSCI World All Cap ETF</v>
      </c>
      <c r="D77" s="24"/>
      <c r="E77" s="7"/>
      <c r="F77" s="25">
        <f>_xlfn.IFNA(VLOOKUP(A77,'[1]ETF List'!$A$2:$I$180,6,FALSE),"n/a")</f>
        <v>0.16</v>
      </c>
      <c r="G77" s="26">
        <f>_xlfn.IFNA(VLOOKUP(A77,'[1]ETF List'!$A$2:$J$180,8,FALSE)/1000000,"n/a")</f>
        <v>29.4179852</v>
      </c>
      <c r="H77" s="25">
        <f>_xlfn.IFNA(VLOOKUP(A77,'[1]ETF List'!$A$2:$N$180,14,FALSE)/1000000,"n/a")</f>
        <v>1.7732045599999986</v>
      </c>
      <c r="I77" s="26">
        <f>_xlfn.IFNA(VLOOKUP(A77,'[1]ETF List'!$A:$R,18,FALSE)/1000000,"n/a")</f>
        <v>1.3360000000000001</v>
      </c>
      <c r="J77" s="27">
        <f>_xlfn.IFNA(VLOOKUP(A77,[1]IRESS!$A$10:$F$875,5,FALSE),"n/a")</f>
        <v>1613722.9999999998</v>
      </c>
      <c r="K77" s="28">
        <f>_xlfn.IFNA(VLOOKUP(A77,[1]IRESS!$A$11:$G$684,7,FALSE),"n/a")</f>
        <v>48240</v>
      </c>
      <c r="L77" s="27">
        <f>_xlfn.IFNA(VLOOKUP(A77,[1]IRESS!$A$10:$F$875,4,FALSE),"n/a")</f>
        <v>101</v>
      </c>
      <c r="M77" s="29">
        <f t="shared" si="0"/>
        <v>5.4854980347192502E-2</v>
      </c>
      <c r="N77" s="30">
        <f>_xlfn.IFNA(VLOOKUP(A77,[1]Spreads!$A$1:$G$279,2,FALSE),"n/a")</f>
        <v>3.3184622383261499E-3</v>
      </c>
      <c r="O77" s="28">
        <f>IFERROR(VLOOKUP(A77,[1]Spreads!$A$1:$G$279,5,FALSE)/1000,"n/a")</f>
        <v>1372.9329544294801</v>
      </c>
      <c r="P77" s="31">
        <f>IFERROR(VLOOKUP(A77,[1]Spreads!$A$1:$G$279,6,FALSE)/1000,"n/a")</f>
        <v>1334.9060817672998</v>
      </c>
      <c r="Q77" s="9"/>
      <c r="R77" s="32">
        <f>_xlfn.IFNA(VLOOKUP($A77,[1]IRESS!$A$11:$AE$696,6,FALSE)/100,"n/a")</f>
        <v>33.4</v>
      </c>
      <c r="S77" s="33">
        <f>_xlfn.IFNA(VLOOKUP($A77,[1]IRESS!$A$11:$AE$696,21,FALSE)/100,"n/a")</f>
        <v>34.18</v>
      </c>
      <c r="T77" s="32">
        <f>_xlfn.IFNA(VLOOKUP($A77,[1]IRESS!$A$11:$AE$696,22,FALSE)/100,"n/a")</f>
        <v>28.23</v>
      </c>
      <c r="V77" s="34">
        <f>IFERROR((VLOOKUP($A77,[1]IRESS!$A$11:$AE$696,20,FALSE)/100)/R77,"n/a")</f>
        <v>2.1840449101796409E-2</v>
      </c>
      <c r="W77" s="35">
        <f>IFERROR(VLOOKUP($A77,[1]Morningstar!$A$2:$F$477,3,FALSE),"n/a")</f>
        <v>1.3100000000000001E-2</v>
      </c>
      <c r="X77" s="34">
        <f>IFERROR(VLOOKUP($A77,[1]Morningstar!$A$2:$F$477,4,FALSE),"n/a")</f>
        <v>0.15640000000000001</v>
      </c>
      <c r="Y77" s="35" t="str">
        <f>IFERROR(VLOOKUP($A77,[1]Morningstar!$A$2:$F$477,5,FALSE),"n/a")</f>
        <v>n/a</v>
      </c>
      <c r="Z77" s="34" t="str">
        <f>IFERROR(VLOOKUP($A77,[1]Morningstar!$A$2:$F$477,6,FALSE),"n/a")</f>
        <v>n/a</v>
      </c>
    </row>
    <row r="78" spans="1:26">
      <c r="A78" s="21" t="s">
        <v>94</v>
      </c>
      <c r="B78" s="22" t="s">
        <v>43</v>
      </c>
      <c r="C78" s="46" t="str">
        <f>VLOOKUP(A78,'[1]ETF List'!$A$3:$B$185,2,FALSE)</f>
        <v>K2 Global Equities Fund (Hedge Fund)</v>
      </c>
      <c r="D78" s="24"/>
      <c r="E78" s="7"/>
      <c r="F78" s="25">
        <f>_xlfn.IFNA(VLOOKUP(A78,'[1]ETF List'!$A$2:$I$180,6,FALSE),"n/a")</f>
        <v>2.7</v>
      </c>
      <c r="G78" s="26">
        <f>_xlfn.IFNA(VLOOKUP(A78,'[1]ETF List'!$A$2:$J$180,8,FALSE)/1000000,"n/a")</f>
        <v>17.124951360000001</v>
      </c>
      <c r="H78" s="25">
        <f>_xlfn.IFNA(VLOOKUP(A78,'[1]ETF List'!$A$2:$N$180,14,FALSE)/1000000,"n/a")</f>
        <v>0.32887112000000102</v>
      </c>
      <c r="I78" s="26">
        <f>_xlfn.IFNA(VLOOKUP(A78,'[1]ETF List'!$A:$R,18,FALSE)/1000000,"n/a")</f>
        <v>0.14155424000000003</v>
      </c>
      <c r="J78" s="27">
        <f>_xlfn.IFNA(VLOOKUP(A78,[1]IRESS!$A$10:$F$875,5,FALSE),"n/a")</f>
        <v>1471874.24</v>
      </c>
      <c r="K78" s="28">
        <f>_xlfn.IFNA(VLOOKUP(A78,[1]IRESS!$A$11:$G$684,7,FALSE),"n/a")</f>
        <v>534514</v>
      </c>
      <c r="L78" s="27">
        <f>_xlfn.IFNA(VLOOKUP(A78,[1]IRESS!$A$10:$F$875,4,FALSE),"n/a")</f>
        <v>21</v>
      </c>
      <c r="M78" s="29">
        <f t="shared" ref="M78:M141" si="1">IFERROR(+J78/(G78*1000000),"n/a")</f>
        <v>8.5949104850479408E-2</v>
      </c>
      <c r="N78" s="30">
        <f>_xlfn.IFNA(VLOOKUP(A78,[1]Spreads!$A$1:$G$279,2,FALSE),"n/a")</f>
        <v>1.2992789969302899E-2</v>
      </c>
      <c r="O78" s="28">
        <f>IFERROR(VLOOKUP(A78,[1]Spreads!$A$1:$G$279,5,FALSE)/1000,"n/a")</f>
        <v>456.01004217226699</v>
      </c>
      <c r="P78" s="31">
        <f>IFERROR(VLOOKUP(A78,[1]Spreads!$A$1:$G$279,6,FALSE)/1000,"n/a")</f>
        <v>310.37227312766902</v>
      </c>
      <c r="Q78" s="9"/>
      <c r="R78" s="32">
        <f>_xlfn.IFNA(VLOOKUP($A78,[1]IRESS!$A$11:$AE$696,6,FALSE)/100,"n/a")</f>
        <v>2.7</v>
      </c>
      <c r="S78" s="33">
        <f>_xlfn.IFNA(VLOOKUP($A78,[1]IRESS!$A$11:$AE$696,21,FALSE)/100,"n/a")</f>
        <v>2.83</v>
      </c>
      <c r="T78" s="32">
        <f>_xlfn.IFNA(VLOOKUP($A78,[1]IRESS!$A$11:$AE$696,22,FALSE)/100,"n/a")</f>
        <v>2.4700000000000002</v>
      </c>
      <c r="V78" s="34">
        <f>IFERROR((VLOOKUP($A78,[1]IRESS!$A$11:$AE$696,20,FALSE)/100)/R78,"n/a")</f>
        <v>0</v>
      </c>
      <c r="W78" s="35">
        <f>IFERROR(VLOOKUP($A78,[1]Morningstar!$A$2:$F$477,3,FALSE),"n/a")</f>
        <v>3.7000000000000002E-3</v>
      </c>
      <c r="X78" s="34">
        <f>IFERROR(VLOOKUP($A78,[1]Morningstar!$A$2:$F$477,4,FALSE),"n/a")</f>
        <v>8.8700000000000001E-2</v>
      </c>
      <c r="Y78" s="35" t="str">
        <f>IFERROR(VLOOKUP($A78,[1]Morningstar!$A$2:$F$477,5,FALSE),"n/a")</f>
        <v>n/a</v>
      </c>
      <c r="Z78" s="34" t="str">
        <f>IFERROR(VLOOKUP($A78,[1]Morningstar!$A$2:$F$477,6,FALSE),"n/a")</f>
        <v>n/a</v>
      </c>
    </row>
    <row r="79" spans="1:26">
      <c r="A79" s="21" t="s">
        <v>95</v>
      </c>
      <c r="B79" s="22" t="s">
        <v>43</v>
      </c>
      <c r="C79" s="46" t="str">
        <f>VLOOKUP(A79,'[1]ETF List'!$A$3:$B$185,2,FALSE)</f>
        <v>Magellan Global Equities Fund (Managed Fund)</v>
      </c>
      <c r="D79" s="24"/>
      <c r="E79" s="7"/>
      <c r="F79" s="25">
        <f>_xlfn.IFNA(VLOOKUP(A79,'[1]ETF List'!$A$2:$I$180,6,FALSE),"n/a")</f>
        <v>1.35</v>
      </c>
      <c r="G79" s="26">
        <f>_xlfn.IFNA(VLOOKUP(A79,'[1]ETF List'!$A$2:$J$180,8,FALSE)/1000000,"n/a")</f>
        <v>1051.31117464</v>
      </c>
      <c r="H79" s="25">
        <f>_xlfn.IFNA(VLOOKUP(A79,'[1]ETF List'!$A$2:$N$180,14,FALSE)/1000000,"n/a")</f>
        <v>5.3928181199998857</v>
      </c>
      <c r="I79" s="26">
        <f>_xlfn.IFNA(VLOOKUP(A79,'[1]ETF List'!$A:$R,18,FALSE)/1000000,"n/a")</f>
        <v>5.3928181200000003</v>
      </c>
      <c r="J79" s="27">
        <f>_xlfn.IFNA(VLOOKUP(A79,[1]IRESS!$A$10:$F$875,5,FALSE),"n/a")</f>
        <v>41369516.670000002</v>
      </c>
      <c r="K79" s="28">
        <f>_xlfn.IFNA(VLOOKUP(A79,[1]IRESS!$A$11:$G$684,7,FALSE),"n/a")</f>
        <v>12831988</v>
      </c>
      <c r="L79" s="27">
        <f>_xlfn.IFNA(VLOOKUP(A79,[1]IRESS!$A$10:$F$875,4,FALSE),"n/a")</f>
        <v>1577</v>
      </c>
      <c r="M79" s="29">
        <f t="shared" si="1"/>
        <v>3.9350401353972241E-2</v>
      </c>
      <c r="N79" s="30">
        <f>_xlfn.IFNA(VLOOKUP(A79,[1]Spreads!$A$1:$G$279,2,FALSE),"n/a")</f>
        <v>3.6676671345626599E-3</v>
      </c>
      <c r="O79" s="28">
        <f>IFERROR(VLOOKUP(A79,[1]Spreads!$A$1:$G$279,5,FALSE)/1000,"n/a")</f>
        <v>3614.7395607922699</v>
      </c>
      <c r="P79" s="31">
        <f>IFERROR(VLOOKUP(A79,[1]Spreads!$A$1:$G$279,6,FALSE)/1000,"n/a")</f>
        <v>3086.9649624745998</v>
      </c>
      <c r="Q79" s="9"/>
      <c r="R79" s="32">
        <f>_xlfn.IFNA(VLOOKUP($A79,[1]IRESS!$A$11:$AE$696,6,FALSE)/100,"n/a")</f>
        <v>3.14</v>
      </c>
      <c r="S79" s="33">
        <f>_xlfn.IFNA(VLOOKUP($A79,[1]IRESS!$A$11:$AE$696,21,FALSE)/100,"n/a")</f>
        <v>3.31</v>
      </c>
      <c r="T79" s="32">
        <f>_xlfn.IFNA(VLOOKUP($A79,[1]IRESS!$A$11:$AE$696,22,FALSE)/100,"n/a")</f>
        <v>2.69</v>
      </c>
      <c r="V79" s="34">
        <f>IFERROR((VLOOKUP($A79,[1]IRESS!$A$11:$AE$696,20,FALSE)/100)/R79,"n/a")</f>
        <v>3.0254777070063694E-2</v>
      </c>
      <c r="W79" s="35">
        <f>IFERROR(VLOOKUP($A79,[1]Morningstar!$A$2:$F$477,3,FALSE),"n/a")</f>
        <v>2.0299999999999999E-2</v>
      </c>
      <c r="X79" s="34">
        <f>IFERROR(VLOOKUP($A79,[1]Morningstar!$A$2:$F$477,4,FALSE),"n/a")</f>
        <v>0.16769999999999999</v>
      </c>
      <c r="Y79" s="35">
        <f>IFERROR(VLOOKUP($A79,[1]Morningstar!$A$2:$F$477,5,FALSE),"n/a")</f>
        <v>0.1022</v>
      </c>
      <c r="Z79" s="34" t="str">
        <f>IFERROR(VLOOKUP($A79,[1]Morningstar!$A$2:$F$477,6,FALSE),"n/a")</f>
        <v>n/a</v>
      </c>
    </row>
    <row r="80" spans="1:26">
      <c r="A80" s="21" t="s">
        <v>96</v>
      </c>
      <c r="B80" s="22" t="s">
        <v>43</v>
      </c>
      <c r="C80" s="46" t="str">
        <f>VLOOKUP(A80,'[1]ETF List'!$A$3:$B$185,2,FALSE)</f>
        <v>Magellan Global Equities Fund Currency Hedged (Managed Fund)</v>
      </c>
      <c r="D80" s="24"/>
      <c r="E80" s="7"/>
      <c r="F80" s="25">
        <f>_xlfn.IFNA(VLOOKUP(A80,'[1]ETF List'!$A$2:$I$180,6,FALSE),"n/a")</f>
        <v>1.35</v>
      </c>
      <c r="G80" s="26">
        <f>_xlfn.IFNA(VLOOKUP(A80,'[1]ETF List'!$A$2:$J$180,8,FALSE)/1000000,"n/a")</f>
        <v>67.136730439999994</v>
      </c>
      <c r="H80" s="25">
        <f>_xlfn.IFNA(VLOOKUP(A80,'[1]ETF List'!$A$2:$N$180,14,FALSE)/1000000,"n/a")</f>
        <v>-1.2966301200000048</v>
      </c>
      <c r="I80" s="26">
        <f>_xlfn.IFNA(VLOOKUP(A80,'[1]ETF List'!$A:$R,18,FALSE)/1000000,"n/a")</f>
        <v>1.3438853999999889</v>
      </c>
      <c r="J80" s="27">
        <f>_xlfn.IFNA(VLOOKUP(A80,[1]IRESS!$A$10:$F$875,5,FALSE),"n/a")</f>
        <v>2538282.5900000008</v>
      </c>
      <c r="K80" s="28">
        <f>_xlfn.IFNA(VLOOKUP(A80,[1]IRESS!$A$11:$G$684,7,FALSE),"n/a")</f>
        <v>806341</v>
      </c>
      <c r="L80" s="27">
        <f>_xlfn.IFNA(VLOOKUP(A80,[1]IRESS!$A$10:$F$875,4,FALSE),"n/a")</f>
        <v>93</v>
      </c>
      <c r="M80" s="29">
        <f t="shared" si="1"/>
        <v>3.7807658689433206E-2</v>
      </c>
      <c r="N80" s="30">
        <f>_xlfn.IFNA(VLOOKUP(A80,[1]Spreads!$A$1:$G$279,2,FALSE),"n/a")</f>
        <v>5.0543330437600098E-3</v>
      </c>
      <c r="O80" s="28">
        <f>IFERROR(VLOOKUP(A80,[1]Spreads!$A$1:$G$279,5,FALSE)/1000,"n/a")</f>
        <v>1568.7906315002499</v>
      </c>
      <c r="P80" s="31">
        <f>IFERROR(VLOOKUP(A80,[1]Spreads!$A$1:$G$279,6,FALSE)/1000,"n/a")</f>
        <v>1301.33599227267</v>
      </c>
      <c r="Q80" s="9"/>
      <c r="R80" s="32">
        <f>_xlfn.IFNA(VLOOKUP($A80,[1]IRESS!$A$11:$AE$696,6,FALSE)/100,"n/a")</f>
        <v>2.99</v>
      </c>
      <c r="S80" s="33">
        <f>_xlfn.IFNA(VLOOKUP($A80,[1]IRESS!$A$11:$AE$696,21,FALSE)/100,"n/a")</f>
        <v>3.22</v>
      </c>
      <c r="T80" s="32">
        <f>_xlfn.IFNA(VLOOKUP($A80,[1]IRESS!$A$11:$AE$696,22,FALSE)/100,"n/a")</f>
        <v>2.72</v>
      </c>
      <c r="V80" s="34">
        <f>IFERROR((VLOOKUP($A80,[1]IRESS!$A$11:$AE$696,20,FALSE)/100)/R80,"n/a")</f>
        <v>4.0133779264214041E-2</v>
      </c>
      <c r="W80" s="35">
        <f>IFERROR(VLOOKUP($A80,[1]Morningstar!$A$2:$F$477,3,FALSE),"n/a")</f>
        <v>-6.4000000000000003E-3</v>
      </c>
      <c r="X80" s="34">
        <f>IFERROR(VLOOKUP($A80,[1]Morningstar!$A$2:$F$477,4,FALSE),"n/a")</f>
        <v>0.12280000000000001</v>
      </c>
      <c r="Y80" s="35" t="str">
        <f>IFERROR(VLOOKUP($A80,[1]Morningstar!$A$2:$F$477,5,FALSE),"n/a")</f>
        <v>n/a</v>
      </c>
      <c r="Z80" s="34" t="str">
        <f>IFERROR(VLOOKUP($A80,[1]Morningstar!$A$2:$F$477,6,FALSE),"n/a")</f>
        <v>n/a</v>
      </c>
    </row>
    <row r="81" spans="1:26">
      <c r="A81" s="21" t="s">
        <v>97</v>
      </c>
      <c r="B81" s="22" t="s">
        <v>28</v>
      </c>
      <c r="C81" s="46" t="str">
        <f>VLOOKUP(A81,'[1]ETF List'!$A$3:$B$185,2,FALSE)</f>
        <v>VanEck Vectors Morningstar Wide Moat ETF</v>
      </c>
      <c r="D81" s="24"/>
      <c r="E81" s="7"/>
      <c r="F81" s="25">
        <f>_xlfn.IFNA(VLOOKUP(A81,'[1]ETF List'!$A$2:$I$180,6,FALSE),"n/a")</f>
        <v>0.49</v>
      </c>
      <c r="G81" s="26">
        <f>_xlfn.IFNA(VLOOKUP(A81,'[1]ETF List'!$A$2:$J$180,8,FALSE)/1000000,"n/a")</f>
        <v>58.902107999999998</v>
      </c>
      <c r="H81" s="25">
        <f>_xlfn.IFNA(VLOOKUP(A81,'[1]ETF List'!$A$2:$N$180,14,FALSE)/1000000,"n/a")</f>
        <v>3.1525799999999999</v>
      </c>
      <c r="I81" s="26">
        <f>_xlfn.IFNA(VLOOKUP(A81,'[1]ETF List'!$A:$R,18,FALSE)/1000000,"n/a")</f>
        <v>0.59209999999999996</v>
      </c>
      <c r="J81" s="27">
        <f>_xlfn.IFNA(VLOOKUP(A81,[1]IRESS!$A$10:$F$875,5,FALSE),"n/a")</f>
        <v>1717761.57</v>
      </c>
      <c r="K81" s="28">
        <f>_xlfn.IFNA(VLOOKUP(A81,[1]IRESS!$A$11:$G$684,7,FALSE),"n/a")</f>
        <v>29393</v>
      </c>
      <c r="L81" s="27">
        <f>_xlfn.IFNA(VLOOKUP(A81,[1]IRESS!$A$10:$F$875,4,FALSE),"n/a")</f>
        <v>175</v>
      </c>
      <c r="M81" s="29">
        <f t="shared" si="1"/>
        <v>2.9162989718466443E-2</v>
      </c>
      <c r="N81" s="30">
        <f>_xlfn.IFNA(VLOOKUP(A81,[1]Spreads!$A$1:$G$279,2,FALSE),"n/a")</f>
        <v>2.6792766897650801E-3</v>
      </c>
      <c r="O81" s="28">
        <f>IFERROR(VLOOKUP(A81,[1]Spreads!$A$1:$G$279,5,FALSE)/1000,"n/a")</f>
        <v>256.75523072297102</v>
      </c>
      <c r="P81" s="31">
        <f>IFERROR(VLOOKUP(A81,[1]Spreads!$A$1:$G$279,6,FALSE)/1000,"n/a")</f>
        <v>487.77828497493903</v>
      </c>
      <c r="Q81" s="9"/>
      <c r="R81" s="32">
        <f>_xlfn.IFNA(VLOOKUP($A81,[1]IRESS!$A$11:$AE$696,6,FALSE)/100,"n/a")</f>
        <v>59.21</v>
      </c>
      <c r="S81" s="33">
        <f>_xlfn.IFNA(VLOOKUP($A81,[1]IRESS!$A$11:$AE$696,21,FALSE)/100,"n/a")</f>
        <v>60.43</v>
      </c>
      <c r="T81" s="32">
        <f>_xlfn.IFNA(VLOOKUP($A81,[1]IRESS!$A$11:$AE$696,22,FALSE)/100,"n/a")</f>
        <v>48.45</v>
      </c>
      <c r="V81" s="34">
        <f>IFERROR((VLOOKUP($A81,[1]IRESS!$A$11:$AE$696,20,FALSE)/100)/R81,"n/a")</f>
        <v>8.329538929234926E-3</v>
      </c>
      <c r="W81" s="35">
        <f>IFERROR(VLOOKUP($A81,[1]Morningstar!$A$2:$F$477,3,FALSE),"n/a")</f>
        <v>4.4600000000000001E-2</v>
      </c>
      <c r="X81" s="34">
        <f>IFERROR(VLOOKUP($A81,[1]Morningstar!$A$2:$F$477,4,FALSE),"n/a")</f>
        <v>0.1565</v>
      </c>
      <c r="Y81" s="35">
        <f>IFERROR(VLOOKUP($A81,[1]Morningstar!$A$2:$F$477,5,FALSE),"n/a")</f>
        <v>0.15190000000000001</v>
      </c>
      <c r="Z81" s="34" t="str">
        <f>IFERROR(VLOOKUP($A81,[1]Morningstar!$A$2:$F$477,6,FALSE),"n/a")</f>
        <v>n/a</v>
      </c>
    </row>
    <row r="82" spans="1:26">
      <c r="A82" s="21" t="s">
        <v>98</v>
      </c>
      <c r="B82" s="22" t="s">
        <v>43</v>
      </c>
      <c r="C82" s="46" t="str">
        <f>VLOOKUP(A82,'[1]ETF List'!$A$3:$B$185,2,FALSE)</f>
        <v>Montgomery Global Equities Fund (Managed Fund)</v>
      </c>
      <c r="D82" s="24"/>
      <c r="E82" s="7"/>
      <c r="F82" s="25">
        <f>_xlfn.IFNA(VLOOKUP(A82,'[1]ETF List'!$A$2:$I$180,6,FALSE),"n/a")</f>
        <v>1.32</v>
      </c>
      <c r="G82" s="26">
        <f>_xlfn.IFNA(VLOOKUP(A82,'[1]ETF List'!$A$2:$J$180,8,FALSE)/1000000,"n/a")</f>
        <v>81.2811296</v>
      </c>
      <c r="H82" s="25">
        <f>_xlfn.IFNA(VLOOKUP(A82,'[1]ETF List'!$A$2:$N$180,14,FALSE)/1000000,"n/a")</f>
        <v>2.485663299999997</v>
      </c>
      <c r="I82" s="26">
        <f>_xlfn.IFNA(VLOOKUP(A82,'[1]ETF List'!$A:$R,18,FALSE)/1000000,"n/a")</f>
        <v>3.15154048</v>
      </c>
      <c r="J82" s="27">
        <f>_xlfn.IFNA(VLOOKUP(A82,[1]IRESS!$A$10:$F$875,5,FALSE),"n/a")</f>
        <v>4567863.7399999993</v>
      </c>
      <c r="K82" s="28">
        <f>_xlfn.IFNA(VLOOKUP(A82,[1]IRESS!$A$11:$G$684,7,FALSE),"n/a")</f>
        <v>1255242</v>
      </c>
      <c r="L82" s="27">
        <f>_xlfn.IFNA(VLOOKUP(A82,[1]IRESS!$A$10:$F$875,4,FALSE),"n/a")</f>
        <v>229</v>
      </c>
      <c r="M82" s="29">
        <f t="shared" si="1"/>
        <v>5.6198329950375096E-2</v>
      </c>
      <c r="N82" s="30">
        <f>_xlfn.IFNA(VLOOKUP(A82,[1]Spreads!$A$1:$G$279,2,FALSE),"n/a")</f>
        <v>4.4719744727234898E-3</v>
      </c>
      <c r="O82" s="28">
        <f>IFERROR(VLOOKUP(A82,[1]Spreads!$A$1:$G$279,5,FALSE)/1000,"n/a")</f>
        <v>1792.5139486450198</v>
      </c>
      <c r="P82" s="31">
        <f>IFERROR(VLOOKUP(A82,[1]Spreads!$A$1:$G$279,6,FALSE)/1000,"n/a")</f>
        <v>1185.9870387456999</v>
      </c>
      <c r="Q82" s="9"/>
      <c r="R82" s="32">
        <f>_xlfn.IFNA(VLOOKUP($A82,[1]IRESS!$A$11:$AE$696,6,FALSE)/100,"n/a")</f>
        <v>3.52</v>
      </c>
      <c r="S82" s="33">
        <f>_xlfn.IFNA(VLOOKUP($A82,[1]IRESS!$A$11:$AE$696,21,FALSE)/100,"n/a")</f>
        <v>3.75</v>
      </c>
      <c r="T82" s="32">
        <f>_xlfn.IFNA(VLOOKUP($A82,[1]IRESS!$A$11:$AE$696,22,FALSE)/100,"n/a")</f>
        <v>3.19</v>
      </c>
      <c r="V82" s="34">
        <f>IFERROR((VLOOKUP($A82,[1]IRESS!$A$11:$AE$696,20,FALSE)/100)/R82,"n/a")</f>
        <v>2.443181818181818E-2</v>
      </c>
      <c r="W82" s="35">
        <f>IFERROR(VLOOKUP($A82,[1]Morningstar!$A$2:$F$477,3,FALSE),"n/a")</f>
        <v>1.6000000000000001E-3</v>
      </c>
      <c r="X82" s="34" t="str">
        <f>IFERROR(VLOOKUP($A82,[1]Morningstar!$A$2:$F$477,4,FALSE),"n/a")</f>
        <v>n/a</v>
      </c>
      <c r="Y82" s="35" t="str">
        <f>IFERROR(VLOOKUP($A82,[1]Morningstar!$A$2:$F$477,5,FALSE),"n/a")</f>
        <v>n/a</v>
      </c>
      <c r="Z82" s="34" t="str">
        <f>IFERROR(VLOOKUP($A82,[1]Morningstar!$A$2:$F$477,6,FALSE),"n/a")</f>
        <v>n/a</v>
      </c>
    </row>
    <row r="83" spans="1:26">
      <c r="A83" s="21" t="s">
        <v>99</v>
      </c>
      <c r="B83" s="22" t="s">
        <v>28</v>
      </c>
      <c r="C83" s="46" t="str">
        <f>VLOOKUP(A83,'[1]ETF List'!$A$3:$B$185,2,FALSE)</f>
        <v>BetaShares NASDAQ 100 ETF</v>
      </c>
      <c r="D83" s="24"/>
      <c r="E83" s="7"/>
      <c r="F83" s="25">
        <f>_xlfn.IFNA(VLOOKUP(A83,'[1]ETF List'!$A$2:$I$180,6,FALSE),"n/a")</f>
        <v>0.48</v>
      </c>
      <c r="G83" s="26">
        <f>_xlfn.IFNA(VLOOKUP(A83,'[1]ETF List'!$A$2:$J$180,8,FALSE)/1000000,"n/a")</f>
        <v>340.61166942</v>
      </c>
      <c r="H83" s="25">
        <f>_xlfn.IFNA(VLOOKUP(A83,'[1]ETF List'!$A$2:$N$180,14,FALSE)/1000000,"n/a")</f>
        <v>33.953596319999996</v>
      </c>
      <c r="I83" s="26">
        <f>_xlfn.IFNA(VLOOKUP(A83,'[1]ETF List'!$A:$R,18,FALSE)/1000000,"n/a")</f>
        <v>23.254000000000001</v>
      </c>
      <c r="J83" s="27">
        <f>_xlfn.IFNA(VLOOKUP(A83,[1]IRESS!$A$10:$F$875,5,FALSE),"n/a")</f>
        <v>46389504.669999994</v>
      </c>
      <c r="K83" s="28">
        <f>_xlfn.IFNA(VLOOKUP(A83,[1]IRESS!$A$11:$G$684,7,FALSE),"n/a")</f>
        <v>2788958</v>
      </c>
      <c r="L83" s="27">
        <f>_xlfn.IFNA(VLOOKUP(A83,[1]IRESS!$A$10:$F$875,4,FALSE),"n/a")</f>
        <v>2196</v>
      </c>
      <c r="M83" s="29">
        <f t="shared" si="1"/>
        <v>0.13619470157611721</v>
      </c>
      <c r="N83" s="30">
        <f>_xlfn.IFNA(VLOOKUP(A83,[1]Spreads!$A$1:$G$279,2,FALSE),"n/a")</f>
        <v>1.0419016236958201E-3</v>
      </c>
      <c r="O83" s="28">
        <f>IFERROR(VLOOKUP(A83,[1]Spreads!$A$1:$G$279,5,FALSE)/1000,"n/a")</f>
        <v>2390.23558057528</v>
      </c>
      <c r="P83" s="31">
        <f>IFERROR(VLOOKUP(A83,[1]Spreads!$A$1:$G$279,6,FALSE)/1000,"n/a")</f>
        <v>2157.73828489269</v>
      </c>
      <c r="Q83" s="9"/>
      <c r="R83" s="32">
        <f>_xlfn.IFNA(VLOOKUP($A83,[1]IRESS!$A$11:$AE$696,6,FALSE)/100,"n/a")</f>
        <v>16.61</v>
      </c>
      <c r="S83" s="33">
        <f>_xlfn.IFNA(VLOOKUP($A83,[1]IRESS!$A$11:$AE$696,21,FALSE)/100,"n/a")</f>
        <v>17.3</v>
      </c>
      <c r="T83" s="32">
        <f>_xlfn.IFNA(VLOOKUP($A83,[1]IRESS!$A$11:$AE$696,22,FALSE)/100,"n/a")</f>
        <v>12.58</v>
      </c>
      <c r="V83" s="34">
        <f>IFERROR((VLOOKUP($A83,[1]IRESS!$A$11:$AE$696,20,FALSE)/100)/R83,"n/a")</f>
        <v>4.8672486453943406E-3</v>
      </c>
      <c r="W83" s="35">
        <f>IFERROR(VLOOKUP($A83,[1]Morningstar!$A$2:$F$477,3,FALSE),"n/a")</f>
        <v>3.4799999999999998E-2</v>
      </c>
      <c r="X83" s="34">
        <f>IFERROR(VLOOKUP($A83,[1]Morningstar!$A$2:$F$477,4,FALSE),"n/a")</f>
        <v>0.30919999999999997</v>
      </c>
      <c r="Y83" s="35">
        <f>IFERROR(VLOOKUP($A83,[1]Morningstar!$A$2:$F$477,5,FALSE),"n/a")</f>
        <v>0.20480000000000001</v>
      </c>
      <c r="Z83" s="34" t="str">
        <f>IFERROR(VLOOKUP($A83,[1]Morningstar!$A$2:$F$477,6,FALSE),"n/a")</f>
        <v>n/a</v>
      </c>
    </row>
    <row r="84" spans="1:26">
      <c r="A84" s="21" t="s">
        <v>100</v>
      </c>
      <c r="B84" s="22" t="s">
        <v>43</v>
      </c>
      <c r="C84" s="46" t="str">
        <f>VLOOKUP(A84,'[1]ETF List'!$A$3:$B$185,2,FALSE)</f>
        <v>Platinum International Fund (Quoted Managed Hedge Fund)</v>
      </c>
      <c r="D84" s="24"/>
      <c r="E84" s="7"/>
      <c r="F84" s="25">
        <f>_xlfn.IFNA(VLOOKUP(A84,'[1]ETF List'!$A$2:$I$180,6,FALSE),"n/a")</f>
        <v>1.1000000000000001</v>
      </c>
      <c r="G84" s="26">
        <f>_xlfn.IFNA(VLOOKUP(A84,'[1]ETF List'!$A$2:$J$180,8,FALSE)/1000000,"n/a")</f>
        <v>210.87386801</v>
      </c>
      <c r="H84" s="25">
        <f>_xlfn.IFNA(VLOOKUP(A84,'[1]ETF List'!$A$2:$N$180,14,FALSE)/1000000,"n/a")</f>
        <v>-12.70718824000001</v>
      </c>
      <c r="I84" s="26">
        <f>_xlfn.IFNA(VLOOKUP(A84,'[1]ETF List'!$A:$R,18,FALSE)/1000000,"n/a")</f>
        <v>17.103619259999999</v>
      </c>
      <c r="J84" s="27">
        <f>_xlfn.IFNA(VLOOKUP(A84,[1]IRESS!$A$10:$F$875,5,FALSE),"n/a")</f>
        <v>24709116.649999999</v>
      </c>
      <c r="K84" s="28">
        <f>_xlfn.IFNA(VLOOKUP(A84,[1]IRESS!$A$11:$G$684,7,FALSE),"n/a")</f>
        <v>4530787</v>
      </c>
      <c r="L84" s="27">
        <f>_xlfn.IFNA(VLOOKUP(A84,[1]IRESS!$A$10:$F$875,4,FALSE),"n/a")</f>
        <v>913</v>
      </c>
      <c r="M84" s="29">
        <f t="shared" si="1"/>
        <v>0.11717486326389313</v>
      </c>
      <c r="N84" s="30">
        <f>_xlfn.IFNA(VLOOKUP(A84,[1]Spreads!$A$1:$G$279,2,FALSE),"n/a")</f>
        <v>3.1546009616549198E-3</v>
      </c>
      <c r="O84" s="28">
        <f>IFERROR(VLOOKUP(A84,[1]Spreads!$A$1:$G$279,5,FALSE)/1000,"n/a")</f>
        <v>1706.04391336196</v>
      </c>
      <c r="P84" s="31">
        <f>IFERROR(VLOOKUP(A84,[1]Spreads!$A$1:$G$279,6,FALSE)/1000,"n/a")</f>
        <v>1546.0738335776398</v>
      </c>
      <c r="Q84" s="9"/>
      <c r="R84" s="32">
        <f>_xlfn.IFNA(VLOOKUP($A84,[1]IRESS!$A$11:$AE$696,6,FALSE)/100,"n/a")</f>
        <v>4.8099999999999996</v>
      </c>
      <c r="S84" s="33">
        <f>_xlfn.IFNA(VLOOKUP($A84,[1]IRESS!$A$11:$AE$696,21,FALSE)/100,"n/a")</f>
        <v>5.75</v>
      </c>
      <c r="T84" s="32">
        <f>_xlfn.IFNA(VLOOKUP($A84,[1]IRESS!$A$11:$AE$696,22,FALSE)/100,"n/a")</f>
        <v>4.78</v>
      </c>
      <c r="V84" s="34">
        <f>IFERROR((VLOOKUP($A84,[1]IRESS!$A$11:$AE$696,20,FALSE)/100)/R84,"n/a")</f>
        <v>0.13051808731808734</v>
      </c>
      <c r="W84" s="35">
        <f>IFERROR(VLOOKUP($A84,[1]Morningstar!$A$2:$F$477,3,FALSE),"n/a")</f>
        <v>-2.5499999999999998E-2</v>
      </c>
      <c r="X84" s="34" t="str">
        <f>IFERROR(VLOOKUP($A84,[1]Morningstar!$A$2:$F$477,4,FALSE),"n/a")</f>
        <v>n/a</v>
      </c>
      <c r="Y84" s="35" t="str">
        <f>IFERROR(VLOOKUP($A84,[1]Morningstar!$A$2:$F$477,5,FALSE),"n/a")</f>
        <v>n/a</v>
      </c>
      <c r="Z84" s="34" t="str">
        <f>IFERROR(VLOOKUP($A84,[1]Morningstar!$A$2:$F$477,6,FALSE),"n/a")</f>
        <v>n/a</v>
      </c>
    </row>
    <row r="85" spans="1:26">
      <c r="A85" s="21" t="s">
        <v>101</v>
      </c>
      <c r="B85" s="22" t="s">
        <v>28</v>
      </c>
      <c r="C85" s="46" t="str">
        <f>VLOOKUP(A85,'[1]ETF List'!$A$3:$B$185,2,FALSE)</f>
        <v>BetaShares FTSE RAFI US 1000 ETF</v>
      </c>
      <c r="D85" s="24"/>
      <c r="E85" s="7"/>
      <c r="F85" s="25">
        <f>_xlfn.IFNA(VLOOKUP(A85,'[1]ETF List'!$A$2:$I$180,6,FALSE),"n/a")</f>
        <v>0.4</v>
      </c>
      <c r="G85" s="26">
        <f>_xlfn.IFNA(VLOOKUP(A85,'[1]ETF List'!$A$2:$J$180,8,FALSE)/1000000,"n/a")</f>
        <v>41.411034839999999</v>
      </c>
      <c r="H85" s="25">
        <f>_xlfn.IFNA(VLOOKUP(A85,'[1]ETF List'!$A$2:$N$180,14,FALSE)/1000000,"n/a")</f>
        <v>0.88978413999999317</v>
      </c>
      <c r="I85" s="26">
        <f>_xlfn.IFNA(VLOOKUP(A85,'[1]ETF List'!$A:$R,18,FALSE)/1000000,"n/a")</f>
        <v>0</v>
      </c>
      <c r="J85" s="27">
        <f>_xlfn.IFNA(VLOOKUP(A85,[1]IRESS!$A$10:$F$875,5,FALSE),"n/a")</f>
        <v>2039620.7300000002</v>
      </c>
      <c r="K85" s="28">
        <f>_xlfn.IFNA(VLOOKUP(A85,[1]IRESS!$A$11:$G$684,7,FALSE),"n/a")</f>
        <v>59917</v>
      </c>
      <c r="L85" s="27">
        <f>_xlfn.IFNA(VLOOKUP(A85,[1]IRESS!$A$10:$F$875,4,FALSE),"n/a")</f>
        <v>77</v>
      </c>
      <c r="M85" s="29">
        <f t="shared" si="1"/>
        <v>4.9253073193666667E-2</v>
      </c>
      <c r="N85" s="30">
        <f>_xlfn.IFNA(VLOOKUP(A85,[1]Spreads!$A$1:$G$279,2,FALSE),"n/a")</f>
        <v>1.9566150393440303E-3</v>
      </c>
      <c r="O85" s="28">
        <f>IFERROR(VLOOKUP(A85,[1]Spreads!$A$1:$G$279,5,FALSE)/1000,"n/a")</f>
        <v>605.59119673843099</v>
      </c>
      <c r="P85" s="31">
        <f>IFERROR(VLOOKUP(A85,[1]Spreads!$A$1:$G$279,6,FALSE)/1000,"n/a")</f>
        <v>1602.3496527068999</v>
      </c>
      <c r="Q85" s="9"/>
      <c r="R85" s="32">
        <f>_xlfn.IFNA(VLOOKUP($A85,[1]IRESS!$A$11:$AE$696,6,FALSE)/100,"n/a")</f>
        <v>34.44</v>
      </c>
      <c r="S85" s="33">
        <f>_xlfn.IFNA(VLOOKUP($A85,[1]IRESS!$A$11:$AE$696,21,FALSE)/100,"n/a")</f>
        <v>34.99</v>
      </c>
      <c r="T85" s="32">
        <f>_xlfn.IFNA(VLOOKUP($A85,[1]IRESS!$A$11:$AE$696,22,FALSE)/100,"n/a")</f>
        <v>28.59</v>
      </c>
      <c r="V85" s="34">
        <f>IFERROR((VLOOKUP($A85,[1]IRESS!$A$11:$AE$696,20,FALSE)/100)/R85,"n/a")</f>
        <v>3.014224738675958E-2</v>
      </c>
      <c r="W85" s="35">
        <f>IFERROR(VLOOKUP($A85,[1]Morningstar!$A$2:$F$477,3,FALSE),"n/a")</f>
        <v>2.1100000000000001E-2</v>
      </c>
      <c r="X85" s="34">
        <f>IFERROR(VLOOKUP($A85,[1]Morningstar!$A$2:$F$477,4,FALSE),"n/a")</f>
        <v>0.15340000000000001</v>
      </c>
      <c r="Y85" s="35">
        <f>IFERROR(VLOOKUP($A85,[1]Morningstar!$A$2:$F$477,5,FALSE),"n/a")</f>
        <v>0.1085</v>
      </c>
      <c r="Z85" s="34" t="str">
        <f>IFERROR(VLOOKUP($A85,[1]Morningstar!$A$2:$F$477,6,FALSE),"n/a")</f>
        <v>n/a</v>
      </c>
    </row>
    <row r="86" spans="1:26">
      <c r="A86" s="21" t="s">
        <v>102</v>
      </c>
      <c r="B86" s="22" t="s">
        <v>28</v>
      </c>
      <c r="C86" s="46" t="str">
        <f>VLOOKUP(A86,'[1]ETF List'!$A$3:$B$185,2,FALSE)</f>
        <v>SPDR S&amp;P 500 ETF Trust</v>
      </c>
      <c r="D86" s="24"/>
      <c r="E86" s="7"/>
      <c r="F86" s="25">
        <f>_xlfn.IFNA(VLOOKUP(A86,'[1]ETF List'!$A$2:$I$180,6,FALSE),"n/a")</f>
        <v>9.4500000000000001E-2</v>
      </c>
      <c r="G86" s="26">
        <f>_xlfn.IFNA(VLOOKUP(A86,'[1]ETF List'!$A$2:$J$180,8,FALSE)/1000000,"n/a")</f>
        <v>21.909301600000003</v>
      </c>
      <c r="H86" s="25">
        <f>_xlfn.IFNA(VLOOKUP(A86,'[1]ETF List'!$A$2:$N$180,14,FALSE)/1000000,"n/a")</f>
        <v>1.5915002000000029</v>
      </c>
      <c r="I86" s="26">
        <f>_xlfn.IFNA(VLOOKUP(A86,'[1]ETF List'!$A:$R,18,FALSE)/1000000,"n/a")</f>
        <v>1.1064000000000001</v>
      </c>
      <c r="J86" s="27">
        <f>_xlfn.IFNA(VLOOKUP(A86,[1]IRESS!$A$10:$F$875,5,FALSE),"n/a")</f>
        <v>1479865.3299999998</v>
      </c>
      <c r="K86" s="28">
        <f>_xlfn.IFNA(VLOOKUP(A86,[1]IRESS!$A$11:$G$684,7,FALSE),"n/a")</f>
        <v>4052</v>
      </c>
      <c r="L86" s="27">
        <f>_xlfn.IFNA(VLOOKUP(A86,[1]IRESS!$A$10:$F$875,4,FALSE),"n/a")</f>
        <v>60</v>
      </c>
      <c r="M86" s="29">
        <f t="shared" si="1"/>
        <v>6.754507090267084E-2</v>
      </c>
      <c r="N86" s="30">
        <f>_xlfn.IFNA(VLOOKUP(A86,[1]Spreads!$A$1:$G$279,2,FALSE),"n/a")</f>
        <v>1.90220668368815E-3</v>
      </c>
      <c r="O86" s="28">
        <f>IFERROR(VLOOKUP(A86,[1]Spreads!$A$1:$G$279,5,FALSE)/1000,"n/a")</f>
        <v>870.25045312162001</v>
      </c>
      <c r="P86" s="31">
        <f>IFERROR(VLOOKUP(A86,[1]Spreads!$A$1:$G$279,6,FALSE)/1000,"n/a")</f>
        <v>504.15416639456799</v>
      </c>
      <c r="Q86" s="9"/>
      <c r="R86" s="32">
        <f>_xlfn.IFNA(VLOOKUP($A86,[1]IRESS!$A$11:$AE$696,6,FALSE)/100,"n/a")</f>
        <v>368.8</v>
      </c>
      <c r="S86" s="33">
        <f>_xlfn.IFNA(VLOOKUP($A86,[1]IRESS!$A$11:$AE$696,21,FALSE)/100,"n/a")</f>
        <v>375.45</v>
      </c>
      <c r="T86" s="32">
        <f>_xlfn.IFNA(VLOOKUP($A86,[1]IRESS!$A$11:$AE$696,22,FALSE)/100,"n/a")</f>
        <v>305</v>
      </c>
      <c r="V86" s="34">
        <f>IFERROR((VLOOKUP($A86,[1]IRESS!$A$11:$AE$696,20,FALSE)/100)/R86,"n/a")</f>
        <v>1.4833120932754879E-2</v>
      </c>
      <c r="W86" s="35">
        <f>IFERROR(VLOOKUP($A86,[1]Morningstar!$A$2:$F$477,3,FALSE),"n/a")</f>
        <v>2.1899999999999999E-2</v>
      </c>
      <c r="X86" s="34">
        <f>IFERROR(VLOOKUP($A86,[1]Morningstar!$A$2:$F$477,4,FALSE),"n/a")</f>
        <v>0.19189999999999999</v>
      </c>
      <c r="Y86" s="35">
        <f>IFERROR(VLOOKUP($A86,[1]Morningstar!$A$2:$F$477,5,FALSE),"n/a")</f>
        <v>0.12540000000000001</v>
      </c>
      <c r="Z86" s="34" t="str">
        <f>IFERROR(VLOOKUP($A86,[1]Morningstar!$A$2:$F$477,6,FALSE),"n/a")</f>
        <v>n/a</v>
      </c>
    </row>
    <row r="87" spans="1:26">
      <c r="A87" s="21" t="s">
        <v>103</v>
      </c>
      <c r="B87" s="22" t="s">
        <v>28</v>
      </c>
      <c r="C87" s="46" t="str">
        <f>VLOOKUP(A87,'[1]ETF List'!$A$3:$B$185,2,FALSE)</f>
        <v>UBS IQ MSCI Europe Ethical ETF</v>
      </c>
      <c r="D87" s="24"/>
      <c r="E87" s="7"/>
      <c r="F87" s="25">
        <f>_xlfn.IFNA(VLOOKUP(A87,'[1]ETF List'!$A$2:$I$180,6,FALSE),"n/a")</f>
        <v>0.4</v>
      </c>
      <c r="G87" s="26">
        <f>_xlfn.IFNA(VLOOKUP(A87,'[1]ETF List'!$A$2:$J$180,8,FALSE)/1000000,"n/a")</f>
        <v>11.066684800000001</v>
      </c>
      <c r="H87" s="25">
        <f>_xlfn.IFNA(VLOOKUP(A87,'[1]ETF List'!$A$2:$N$180,14,FALSE)/1000000,"n/a")</f>
        <v>-0.25808500000000001</v>
      </c>
      <c r="I87" s="26">
        <f>_xlfn.IFNA(VLOOKUP(A87,'[1]ETF List'!$A:$R,18,FALSE)/1000000,"n/a")</f>
        <v>0</v>
      </c>
      <c r="J87" s="27">
        <f>_xlfn.IFNA(VLOOKUP(A87,[1]IRESS!$A$10:$F$875,5,FALSE),"n/a")</f>
        <v>325142.42999999993</v>
      </c>
      <c r="K87" s="28">
        <f>_xlfn.IFNA(VLOOKUP(A87,[1]IRESS!$A$11:$G$684,7,FALSE),"n/a")</f>
        <v>14727</v>
      </c>
      <c r="L87" s="27">
        <f>_xlfn.IFNA(VLOOKUP(A87,[1]IRESS!$A$10:$F$875,4,FALSE),"n/a")</f>
        <v>28</v>
      </c>
      <c r="M87" s="29">
        <f t="shared" si="1"/>
        <v>2.9380291919039739E-2</v>
      </c>
      <c r="N87" s="30">
        <f>_xlfn.IFNA(VLOOKUP(A87,[1]Spreads!$A$1:$G$279,2,FALSE),"n/a")</f>
        <v>3.3539905225471399E-3</v>
      </c>
      <c r="O87" s="28">
        <f>IFERROR(VLOOKUP(A87,[1]Spreads!$A$1:$G$279,5,FALSE)/1000,"n/a")</f>
        <v>99.116628181489205</v>
      </c>
      <c r="P87" s="31">
        <f>IFERROR(VLOOKUP(A87,[1]Spreads!$A$1:$G$279,6,FALSE)/1000,"n/a")</f>
        <v>335.29679965935395</v>
      </c>
      <c r="Q87" s="9"/>
      <c r="R87" s="32">
        <f>_xlfn.IFNA(VLOOKUP($A87,[1]IRESS!$A$11:$AE$696,6,FALSE)/100,"n/a")</f>
        <v>21.44</v>
      </c>
      <c r="S87" s="33">
        <f>_xlfn.IFNA(VLOOKUP($A87,[1]IRESS!$A$11:$AE$696,21,FALSE)/100,"n/a")</f>
        <v>22.96</v>
      </c>
      <c r="T87" s="32">
        <f>_xlfn.IFNA(VLOOKUP($A87,[1]IRESS!$A$11:$AE$696,22,FALSE)/100,"n/a")</f>
        <v>19.91</v>
      </c>
      <c r="V87" s="34">
        <f>IFERROR((VLOOKUP($A87,[1]IRESS!$A$11:$AE$696,20,FALSE)/100)/R87,"n/a")</f>
        <v>2.7098134328358205E-2</v>
      </c>
      <c r="W87" s="35">
        <f>IFERROR(VLOOKUP($A87,[1]Morningstar!$A$2:$F$477,3,FALSE),"n/a")</f>
        <v>-4.1000000000000003E-3</v>
      </c>
      <c r="X87" s="34">
        <f>IFERROR(VLOOKUP($A87,[1]Morningstar!$A$2:$F$477,4,FALSE),"n/a")</f>
        <v>8.4199999999999997E-2</v>
      </c>
      <c r="Y87" s="35">
        <f>IFERROR(VLOOKUP($A87,[1]Morningstar!$A$2:$F$477,5,FALSE),"n/a")</f>
        <v>4.8300000000000003E-2</v>
      </c>
      <c r="Z87" s="34" t="str">
        <f>IFERROR(VLOOKUP($A87,[1]Morningstar!$A$2:$F$477,6,FALSE),"n/a")</f>
        <v>n/a</v>
      </c>
    </row>
    <row r="88" spans="1:26">
      <c r="A88" s="21" t="s">
        <v>104</v>
      </c>
      <c r="B88" s="22" t="s">
        <v>28</v>
      </c>
      <c r="C88" s="46" t="str">
        <f>VLOOKUP(A88,'[1]ETF List'!$A$3:$B$185,2,FALSE)</f>
        <v>UBS IQ MSCI Japan Ethical ETF</v>
      </c>
      <c r="D88" s="24"/>
      <c r="E88" s="7"/>
      <c r="F88" s="25">
        <f>_xlfn.IFNA(VLOOKUP(A88,'[1]ETF List'!$A$2:$I$180,6,FALSE),"n/a")</f>
        <v>0.4</v>
      </c>
      <c r="G88" s="26">
        <f>_xlfn.IFNA(VLOOKUP(A88,'[1]ETF List'!$A$2:$J$180,8,FALSE)/1000000,"n/a")</f>
        <v>4.5476116799999993</v>
      </c>
      <c r="H88" s="25">
        <f>_xlfn.IFNA(VLOOKUP(A88,'[1]ETF List'!$A$2:$N$180,14,FALSE)/1000000,"n/a")</f>
        <v>-7.8078759999999775E-2</v>
      </c>
      <c r="I88" s="26">
        <f>_xlfn.IFNA(VLOOKUP(A88,'[1]ETF List'!$A:$R,18,FALSE)/1000000,"n/a")</f>
        <v>6.9499947130680079E-16</v>
      </c>
      <c r="J88" s="27">
        <f>_xlfn.IFNA(VLOOKUP(A88,[1]IRESS!$A$10:$F$875,5,FALSE),"n/a")</f>
        <v>65855.81</v>
      </c>
      <c r="K88" s="28">
        <f>_xlfn.IFNA(VLOOKUP(A88,[1]IRESS!$A$11:$G$684,7,FALSE),"n/a")</f>
        <v>2687</v>
      </c>
      <c r="L88" s="27">
        <f>_xlfn.IFNA(VLOOKUP(A88,[1]IRESS!$A$10:$F$875,4,FALSE),"n/a")</f>
        <v>8</v>
      </c>
      <c r="M88" s="29">
        <f t="shared" si="1"/>
        <v>1.4481405765058639E-2</v>
      </c>
      <c r="N88" s="30">
        <f>_xlfn.IFNA(VLOOKUP(A88,[1]Spreads!$A$1:$G$279,2,FALSE),"n/a")</f>
        <v>2.2189541070784199E-3</v>
      </c>
      <c r="O88" s="28">
        <f>IFERROR(VLOOKUP(A88,[1]Spreads!$A$1:$G$279,5,FALSE)/1000,"n/a")</f>
        <v>74.569113463211494</v>
      </c>
      <c r="P88" s="31">
        <f>IFERROR(VLOOKUP(A88,[1]Spreads!$A$1:$G$279,6,FALSE)/1000,"n/a")</f>
        <v>366.029049580444</v>
      </c>
      <c r="Q88" s="9"/>
      <c r="R88" s="32">
        <f>_xlfn.IFNA(VLOOKUP($A88,[1]IRESS!$A$11:$AE$696,6,FALSE)/100,"n/a")</f>
        <v>24.45</v>
      </c>
      <c r="S88" s="33">
        <f>_xlfn.IFNA(VLOOKUP($A88,[1]IRESS!$A$11:$AE$696,21,FALSE)/100,"n/a")</f>
        <v>24.95</v>
      </c>
      <c r="T88" s="32">
        <f>_xlfn.IFNA(VLOOKUP($A88,[1]IRESS!$A$11:$AE$696,22,FALSE)/100,"n/a")</f>
        <v>20.57</v>
      </c>
      <c r="V88" s="34">
        <f>IFERROR((VLOOKUP($A88,[1]IRESS!$A$11:$AE$696,20,FALSE)/100)/R88,"n/a")</f>
        <v>1.5218895705521472E-2</v>
      </c>
      <c r="W88" s="35">
        <f>IFERROR(VLOOKUP($A88,[1]Morningstar!$A$2:$F$477,3,FALSE),"n/a")</f>
        <v>6.4999999999999997E-3</v>
      </c>
      <c r="X88" s="34">
        <f>IFERROR(VLOOKUP($A88,[1]Morningstar!$A$2:$F$477,4,FALSE),"n/a")</f>
        <v>0.1731</v>
      </c>
      <c r="Y88" s="35">
        <f>IFERROR(VLOOKUP($A88,[1]Morningstar!$A$2:$F$477,5,FALSE),"n/a")</f>
        <v>7.7299999999999994E-2</v>
      </c>
      <c r="Z88" s="34" t="str">
        <f>IFERROR(VLOOKUP($A88,[1]Morningstar!$A$2:$F$477,6,FALSE),"n/a")</f>
        <v>n/a</v>
      </c>
    </row>
    <row r="89" spans="1:26">
      <c r="A89" s="21" t="s">
        <v>105</v>
      </c>
      <c r="B89" s="22" t="s">
        <v>28</v>
      </c>
      <c r="C89" s="46" t="str">
        <f>VLOOKUP(A89,'[1]ETF List'!$A$3:$B$185,2,FALSE)</f>
        <v>UBS IQ MSCI USA Ethical ETF</v>
      </c>
      <c r="D89" s="24"/>
      <c r="E89" s="7"/>
      <c r="F89" s="25">
        <f>_xlfn.IFNA(VLOOKUP(A89,'[1]ETF List'!$A$2:$I$180,6,FALSE),"n/a")</f>
        <v>0.2</v>
      </c>
      <c r="G89" s="26">
        <f>_xlfn.IFNA(VLOOKUP(A89,'[1]ETF List'!$A$2:$J$180,8,FALSE)/1000000,"n/a")</f>
        <v>6.793297739999999</v>
      </c>
      <c r="H89" s="25">
        <f>_xlfn.IFNA(VLOOKUP(A89,'[1]ETF List'!$A$2:$N$180,14,FALSE)/1000000,"n/a")</f>
        <v>8.0127359999999398E-2</v>
      </c>
      <c r="I89" s="26">
        <f>_xlfn.IFNA(VLOOKUP(A89,'[1]ETF List'!$A:$R,18,FALSE)/1000000,"n/a")</f>
        <v>-7.8958692029118536E-16</v>
      </c>
      <c r="J89" s="27">
        <f>_xlfn.IFNA(VLOOKUP(A89,[1]IRESS!$A$10:$F$875,5,FALSE),"n/a")</f>
        <v>85170.709999999992</v>
      </c>
      <c r="K89" s="28">
        <f>_xlfn.IFNA(VLOOKUP(A89,[1]IRESS!$A$11:$G$684,7,FALSE),"n/a")</f>
        <v>3123</v>
      </c>
      <c r="L89" s="27">
        <f>_xlfn.IFNA(VLOOKUP(A89,[1]IRESS!$A$10:$F$875,4,FALSE),"n/a")</f>
        <v>8</v>
      </c>
      <c r="M89" s="29">
        <f t="shared" si="1"/>
        <v>1.2537461665856559E-2</v>
      </c>
      <c r="N89" s="30">
        <f>_xlfn.IFNA(VLOOKUP(A89,[1]Spreads!$A$1:$G$279,2,FALSE),"n/a")</f>
        <v>2.0671729956895702E-3</v>
      </c>
      <c r="O89" s="28">
        <f>IFERROR(VLOOKUP(A89,[1]Spreads!$A$1:$G$279,5,FALSE)/1000,"n/a")</f>
        <v>166.63529007978099</v>
      </c>
      <c r="P89" s="31">
        <f>IFERROR(VLOOKUP(A89,[1]Spreads!$A$1:$G$279,6,FALSE)/1000,"n/a")</f>
        <v>274.27499865544002</v>
      </c>
      <c r="Q89" s="9"/>
      <c r="R89" s="32">
        <f>_xlfn.IFNA(VLOOKUP($A89,[1]IRESS!$A$11:$AE$696,6,FALSE)/100,"n/a")</f>
        <v>27.12</v>
      </c>
      <c r="S89" s="33">
        <f>_xlfn.IFNA(VLOOKUP($A89,[1]IRESS!$A$11:$AE$696,21,FALSE)/100,"n/a")</f>
        <v>27.99</v>
      </c>
      <c r="T89" s="32">
        <f>_xlfn.IFNA(VLOOKUP($A89,[1]IRESS!$A$11:$AE$696,22,FALSE)/100,"n/a")</f>
        <v>22.43</v>
      </c>
      <c r="V89" s="34">
        <f>IFERROR((VLOOKUP($A89,[1]IRESS!$A$11:$AE$696,20,FALSE)/100)/R89,"n/a")</f>
        <v>1.5591334808259588E-2</v>
      </c>
      <c r="W89" s="35">
        <f>IFERROR(VLOOKUP($A89,[1]Morningstar!$A$2:$F$477,3,FALSE),"n/a")</f>
        <v>4.36E-2</v>
      </c>
      <c r="X89" s="34">
        <f>IFERROR(VLOOKUP($A89,[1]Morningstar!$A$2:$F$477,4,FALSE),"n/a")</f>
        <v>0.21990000000000001</v>
      </c>
      <c r="Y89" s="35">
        <f>IFERROR(VLOOKUP($A89,[1]Morningstar!$A$2:$F$477,5,FALSE),"n/a")</f>
        <v>0.13289999999999999</v>
      </c>
      <c r="Z89" s="34" t="str">
        <f>IFERROR(VLOOKUP($A89,[1]Morningstar!$A$2:$F$477,6,FALSE),"n/a")</f>
        <v>n/a</v>
      </c>
    </row>
    <row r="90" spans="1:26">
      <c r="A90" s="21" t="s">
        <v>106</v>
      </c>
      <c r="B90" s="22" t="s">
        <v>28</v>
      </c>
      <c r="C90" s="46" t="str">
        <f>VLOOKUP(A90,'[1]ETF List'!$A$3:$B$185,2,FALSE)</f>
        <v>UBS IQ MSCI World ex Australia Ethical ETF</v>
      </c>
      <c r="D90" s="24"/>
      <c r="E90" s="7"/>
      <c r="F90" s="25">
        <f>_xlfn.IFNA(VLOOKUP(A90,'[1]ETF List'!$A$2:$I$180,6,FALSE),"n/a")</f>
        <v>0.35</v>
      </c>
      <c r="G90" s="26">
        <f>_xlfn.IFNA(VLOOKUP(A90,'[1]ETF List'!$A$2:$J$180,8,FALSE)/1000000,"n/a")</f>
        <v>29.250862440000002</v>
      </c>
      <c r="H90" s="25">
        <f>_xlfn.IFNA(VLOOKUP(A90,'[1]ETF List'!$A$2:$N$180,14,FALSE)/1000000,"n/a")</f>
        <v>-3.4863959999997168E-2</v>
      </c>
      <c r="I90" s="26">
        <f>_xlfn.IFNA(VLOOKUP(A90,'[1]ETF List'!$A:$R,18,FALSE)/1000000,"n/a")</f>
        <v>0</v>
      </c>
      <c r="J90" s="27">
        <f>_xlfn.IFNA(VLOOKUP(A90,[1]IRESS!$A$10:$F$875,5,FALSE),"n/a")</f>
        <v>2334690.5799999996</v>
      </c>
      <c r="K90" s="28">
        <f>_xlfn.IFNA(VLOOKUP(A90,[1]IRESS!$A$11:$G$684,7,FALSE),"n/a")</f>
        <v>91097</v>
      </c>
      <c r="L90" s="27">
        <f>_xlfn.IFNA(VLOOKUP(A90,[1]IRESS!$A$10:$F$875,4,FALSE),"n/a")</f>
        <v>123</v>
      </c>
      <c r="M90" s="29">
        <f t="shared" si="1"/>
        <v>7.9816127978755064E-2</v>
      </c>
      <c r="N90" s="30">
        <f>_xlfn.IFNA(VLOOKUP(A90,[1]Spreads!$A$1:$G$279,2,FALSE),"n/a")</f>
        <v>2.5722829740606303E-3</v>
      </c>
      <c r="O90" s="28">
        <f>IFERROR(VLOOKUP(A90,[1]Spreads!$A$1:$G$279,5,FALSE)/1000,"n/a")</f>
        <v>237.32399020299198</v>
      </c>
      <c r="P90" s="31">
        <f>IFERROR(VLOOKUP(A90,[1]Spreads!$A$1:$G$279,6,FALSE)/1000,"n/a")</f>
        <v>380.78569285873596</v>
      </c>
      <c r="Q90" s="9"/>
      <c r="R90" s="32">
        <f>_xlfn.IFNA(VLOOKUP($A90,[1]IRESS!$A$11:$AE$696,6,FALSE)/100,"n/a")</f>
        <v>25.17</v>
      </c>
      <c r="S90" s="33">
        <f>_xlfn.IFNA(VLOOKUP($A90,[1]IRESS!$A$11:$AE$696,21,FALSE)/100,"n/a")</f>
        <v>27</v>
      </c>
      <c r="T90" s="32">
        <f>_xlfn.IFNA(VLOOKUP($A90,[1]IRESS!$A$11:$AE$696,22,FALSE)/100,"n/a")</f>
        <v>21.58</v>
      </c>
      <c r="V90" s="34">
        <f>IFERROR((VLOOKUP($A90,[1]IRESS!$A$11:$AE$696,20,FALSE)/100)/R90,"n/a")</f>
        <v>1.9222606277314262E-2</v>
      </c>
      <c r="W90" s="35">
        <f>IFERROR(VLOOKUP($A90,[1]Morningstar!$A$2:$F$477,3,FALSE),"n/a")</f>
        <v>1.4E-2</v>
      </c>
      <c r="X90" s="34">
        <f>IFERROR(VLOOKUP($A90,[1]Morningstar!$A$2:$F$477,4,FALSE),"n/a")</f>
        <v>0.1515</v>
      </c>
      <c r="Y90" s="35">
        <f>IFERROR(VLOOKUP($A90,[1]Morningstar!$A$2:$F$477,5,FALSE),"n/a")</f>
        <v>9.1499999999999998E-2</v>
      </c>
      <c r="Z90" s="34" t="str">
        <f>IFERROR(VLOOKUP($A90,[1]Morningstar!$A$2:$F$477,6,FALSE),"n/a")</f>
        <v>n/a</v>
      </c>
    </row>
    <row r="91" spans="1:26">
      <c r="A91" s="21" t="s">
        <v>107</v>
      </c>
      <c r="B91" s="22" t="s">
        <v>28</v>
      </c>
      <c r="C91" s="46" t="str">
        <f>VLOOKUP(A91,'[1]ETF List'!$A$3:$B$185,2,FALSE)</f>
        <v>Vanguard All-World ex US Shares Index ETF</v>
      </c>
      <c r="D91" s="24"/>
      <c r="E91" s="7"/>
      <c r="F91" s="25">
        <f>_xlfn.IFNA(VLOOKUP(A91,'[1]ETF List'!$A$2:$I$180,6,FALSE),"n/a")</f>
        <v>0.11</v>
      </c>
      <c r="G91" s="26">
        <f>_xlfn.IFNA(VLOOKUP(A91,'[1]ETF List'!$A$2:$J$180,8,FALSE)/1000000,"n/a")</f>
        <v>1243.27228272</v>
      </c>
      <c r="H91" s="25">
        <f>_xlfn.IFNA(VLOOKUP(A91,'[1]ETF List'!$A$2:$N$180,14,FALSE)/1000000,"n/a")</f>
        <v>12.011048160000087</v>
      </c>
      <c r="I91" s="26">
        <f>_xlfn.IFNA(VLOOKUP(A91,'[1]ETF List'!$A:$R,18,FALSE)/1000000,"n/a")</f>
        <v>32.073740000000001</v>
      </c>
      <c r="J91" s="27">
        <f>_xlfn.IFNA(VLOOKUP(A91,[1]IRESS!$A$10:$F$875,5,FALSE),"n/a")</f>
        <v>56916909.825000003</v>
      </c>
      <c r="K91" s="28">
        <f>_xlfn.IFNA(VLOOKUP(A91,[1]IRESS!$A$11:$G$684,7,FALSE),"n/a")</f>
        <v>799974</v>
      </c>
      <c r="L91" s="27">
        <f>_xlfn.IFNA(VLOOKUP(A91,[1]IRESS!$A$10:$F$875,4,FALSE),"n/a")</f>
        <v>2702</v>
      </c>
      <c r="M91" s="29">
        <f t="shared" si="1"/>
        <v>4.5779923365200911E-2</v>
      </c>
      <c r="N91" s="30">
        <f>_xlfn.IFNA(VLOOKUP(A91,[1]Spreads!$A$1:$G$279,2,FALSE),"n/a")</f>
        <v>1.0876856058428901E-3</v>
      </c>
      <c r="O91" s="28">
        <f>IFERROR(VLOOKUP(A91,[1]Spreads!$A$1:$G$279,5,FALSE)/1000,"n/a")</f>
        <v>961.76625698143607</v>
      </c>
      <c r="P91" s="31">
        <f>IFERROR(VLOOKUP(A91,[1]Spreads!$A$1:$G$279,6,FALSE)/1000,"n/a")</f>
        <v>676.39014858605503</v>
      </c>
      <c r="Q91" s="9"/>
      <c r="R91" s="32">
        <f>_xlfn.IFNA(VLOOKUP($A91,[1]IRESS!$A$11:$AE$696,6,FALSE)/100,"n/a")</f>
        <v>70.03</v>
      </c>
      <c r="S91" s="33">
        <f>_xlfn.IFNA(VLOOKUP($A91,[1]IRESS!$A$11:$AE$696,21,FALSE)/100,"n/a")</f>
        <v>73.86</v>
      </c>
      <c r="T91" s="32">
        <f>_xlfn.IFNA(VLOOKUP($A91,[1]IRESS!$A$11:$AE$696,22,FALSE)/100,"n/a")</f>
        <v>64.45</v>
      </c>
      <c r="V91" s="34">
        <f>IFERROR((VLOOKUP($A91,[1]IRESS!$A$11:$AE$696,20,FALSE)/100)/R91,"n/a")</f>
        <v>2.4934970726831363E-2</v>
      </c>
      <c r="W91" s="35">
        <f>IFERROR(VLOOKUP($A91,[1]Morningstar!$A$2:$F$477,3,FALSE),"n/a")</f>
        <v>-1.5699999999999999E-2</v>
      </c>
      <c r="X91" s="34">
        <f>IFERROR(VLOOKUP($A91,[1]Morningstar!$A$2:$F$477,4,FALSE),"n/a")</f>
        <v>9.4399999999999998E-2</v>
      </c>
      <c r="Y91" s="35">
        <f>IFERROR(VLOOKUP($A91,[1]Morningstar!$A$2:$F$477,5,FALSE),"n/a")</f>
        <v>5.62E-2</v>
      </c>
      <c r="Z91" s="34">
        <f>IFERROR(VLOOKUP($A91,[1]Morningstar!$A$2:$F$477,6,FALSE),"n/a")</f>
        <v>0.1013</v>
      </c>
    </row>
    <row r="92" spans="1:26">
      <c r="A92" s="21" t="s">
        <v>108</v>
      </c>
      <c r="B92" s="22" t="s">
        <v>28</v>
      </c>
      <c r="C92" s="46" t="str">
        <f>VLOOKUP(A92,'[1]ETF List'!$A$3:$B$185,2,FALSE)</f>
        <v>Vanguard FTSE Europe Shares ETF</v>
      </c>
      <c r="D92" s="24"/>
      <c r="E92" s="7"/>
      <c r="F92" s="25">
        <f>_xlfn.IFNA(VLOOKUP(A92,'[1]ETF List'!$A$2:$I$180,6,FALSE),"n/a")</f>
        <v>0.35</v>
      </c>
      <c r="G92" s="26">
        <f>_xlfn.IFNA(VLOOKUP(A92,'[1]ETF List'!$A$2:$J$180,8,FALSE)/1000000,"n/a")</f>
        <v>193.62769409999999</v>
      </c>
      <c r="H92" s="25">
        <f>_xlfn.IFNA(VLOOKUP(A92,'[1]ETF List'!$A$2:$N$180,14,FALSE)/1000000,"n/a")</f>
        <v>2.9632434999999999</v>
      </c>
      <c r="I92" s="26">
        <f>_xlfn.IFNA(VLOOKUP(A92,'[1]ETF List'!$A:$R,18,FALSE)/1000000,"n/a")</f>
        <v>3.3083999999999998</v>
      </c>
      <c r="J92" s="27">
        <f>_xlfn.IFNA(VLOOKUP(A92,[1]IRESS!$A$10:$F$875,5,FALSE),"n/a")</f>
        <v>13988345.750000002</v>
      </c>
      <c r="K92" s="28">
        <f>_xlfn.IFNA(VLOOKUP(A92,[1]IRESS!$A$11:$G$684,7,FALSE),"n/a")</f>
        <v>251413</v>
      </c>
      <c r="L92" s="27">
        <f>_xlfn.IFNA(VLOOKUP(A92,[1]IRESS!$A$10:$F$875,4,FALSE),"n/a")</f>
        <v>619</v>
      </c>
      <c r="M92" s="29">
        <f t="shared" si="1"/>
        <v>7.2243517721053113E-2</v>
      </c>
      <c r="N92" s="30">
        <f>_xlfn.IFNA(VLOOKUP(A92,[1]Spreads!$A$1:$G$279,2,FALSE),"n/a")</f>
        <v>1.2685489426568E-3</v>
      </c>
      <c r="O92" s="28">
        <f>IFERROR(VLOOKUP(A92,[1]Spreads!$A$1:$G$279,5,FALSE)/1000,"n/a")</f>
        <v>423.85756776993196</v>
      </c>
      <c r="P92" s="31">
        <f>IFERROR(VLOOKUP(A92,[1]Spreads!$A$1:$G$279,6,FALSE)/1000,"n/a")</f>
        <v>501.013744299677</v>
      </c>
      <c r="Q92" s="9"/>
      <c r="R92" s="32">
        <f>_xlfn.IFNA(VLOOKUP($A92,[1]IRESS!$A$11:$AE$696,6,FALSE)/100,"n/a")</f>
        <v>55.14</v>
      </c>
      <c r="S92" s="33">
        <f>_xlfn.IFNA(VLOOKUP($A92,[1]IRESS!$A$11:$AE$696,21,FALSE)/100,"n/a")</f>
        <v>57.68</v>
      </c>
      <c r="T92" s="32">
        <f>_xlfn.IFNA(VLOOKUP($A92,[1]IRESS!$A$11:$AE$696,22,FALSE)/100,"n/a")</f>
        <v>50.61</v>
      </c>
      <c r="V92" s="34">
        <f>IFERROR((VLOOKUP($A92,[1]IRESS!$A$11:$AE$696,20,FALSE)/100)/R92,"n/a")</f>
        <v>2.5804280014508525E-2</v>
      </c>
      <c r="W92" s="35">
        <f>IFERROR(VLOOKUP($A92,[1]Morningstar!$A$2:$F$477,3,FALSE),"n/a")</f>
        <v>-9.7999999999999997E-3</v>
      </c>
      <c r="X92" s="34">
        <f>IFERROR(VLOOKUP($A92,[1]Morningstar!$A$2:$F$477,4,FALSE),"n/a")</f>
        <v>8.0600000000000005E-2</v>
      </c>
      <c r="Y92" s="35" t="str">
        <f>IFERROR(VLOOKUP($A92,[1]Morningstar!$A$2:$F$477,5,FALSE),"n/a")</f>
        <v>n/a</v>
      </c>
      <c r="Z92" s="34" t="str">
        <f>IFERROR(VLOOKUP($A92,[1]Morningstar!$A$2:$F$477,6,FALSE),"n/a")</f>
        <v>n/a</v>
      </c>
    </row>
    <row r="93" spans="1:26">
      <c r="A93" s="21" t="s">
        <v>109</v>
      </c>
      <c r="B93" s="22" t="s">
        <v>28</v>
      </c>
      <c r="C93" s="46" t="str">
        <f>VLOOKUP(A93,'[1]ETF List'!$A$3:$B$185,2,FALSE)</f>
        <v>Vanguard MSCI Index International Shares (Hedged) ETF</v>
      </c>
      <c r="D93" s="24"/>
      <c r="E93" s="7"/>
      <c r="F93" s="25">
        <f>_xlfn.IFNA(VLOOKUP(A93,'[1]ETF List'!$A$2:$I$180,6,FALSE),"n/a")</f>
        <v>0.21</v>
      </c>
      <c r="G93" s="26">
        <f>_xlfn.IFNA(VLOOKUP(A93,'[1]ETF List'!$A$2:$J$180,8,FALSE)/1000000,"n/a")</f>
        <v>412.88746464000002</v>
      </c>
      <c r="H93" s="25">
        <f>_xlfn.IFNA(VLOOKUP(A93,'[1]ETF List'!$A$2:$N$180,14,FALSE)/1000000,"n/a")</f>
        <v>8.7722902400000695</v>
      </c>
      <c r="I93" s="26">
        <f>_xlfn.IFNA(VLOOKUP(A93,'[1]ETF List'!$A:$R,18,FALSE)/1000000,"n/a")</f>
        <v>9.2021999999999995</v>
      </c>
      <c r="J93" s="27">
        <f>_xlfn.IFNA(VLOOKUP(A93,[1]IRESS!$A$10:$F$875,5,FALSE),"n/a")</f>
        <v>27361250.194999993</v>
      </c>
      <c r="K93" s="28">
        <f>_xlfn.IFNA(VLOOKUP(A93,[1]IRESS!$A$11:$G$684,7,FALSE),"n/a")</f>
        <v>411870</v>
      </c>
      <c r="L93" s="27">
        <f>_xlfn.IFNA(VLOOKUP(A93,[1]IRESS!$A$10:$F$875,4,FALSE),"n/a")</f>
        <v>1536</v>
      </c>
      <c r="M93" s="29">
        <f t="shared" si="1"/>
        <v>6.6268057372137687E-2</v>
      </c>
      <c r="N93" s="30">
        <f>_xlfn.IFNA(VLOOKUP(A93,[1]Spreads!$A$1:$G$279,2,FALSE),"n/a")</f>
        <v>8.4361603273984702E-4</v>
      </c>
      <c r="O93" s="28">
        <f>IFERROR(VLOOKUP(A93,[1]Spreads!$A$1:$G$279,5,FALSE)/1000,"n/a")</f>
        <v>660.87227763327701</v>
      </c>
      <c r="P93" s="31">
        <f>IFERROR(VLOOKUP(A93,[1]Spreads!$A$1:$G$279,6,FALSE)/1000,"n/a")</f>
        <v>781.76641735720602</v>
      </c>
      <c r="Q93" s="9"/>
      <c r="R93" s="32">
        <f>_xlfn.IFNA(VLOOKUP($A93,[1]IRESS!$A$11:$AE$696,6,FALSE)/100,"n/a")</f>
        <v>65.73</v>
      </c>
      <c r="S93" s="33">
        <f>_xlfn.IFNA(VLOOKUP($A93,[1]IRESS!$A$11:$AE$696,21,FALSE)/100,"n/a")</f>
        <v>68.569999999999993</v>
      </c>
      <c r="T93" s="32">
        <f>_xlfn.IFNA(VLOOKUP($A93,[1]IRESS!$A$11:$AE$696,22,FALSE)/100,"n/a")</f>
        <v>59.26</v>
      </c>
      <c r="V93" s="34">
        <f>IFERROR((VLOOKUP($A93,[1]IRESS!$A$11:$AE$696,20,FALSE)/100)/R93,"n/a")</f>
        <v>2.0081667427354326E-2</v>
      </c>
      <c r="W93" s="35">
        <f>IFERROR(VLOOKUP($A93,[1]Morningstar!$A$2:$F$477,3,FALSE),"n/a")</f>
        <v>-1.6000000000000001E-3</v>
      </c>
      <c r="X93" s="34">
        <f>IFERROR(VLOOKUP($A93,[1]Morningstar!$A$2:$F$477,4,FALSE),"n/a")</f>
        <v>0.1133</v>
      </c>
      <c r="Y93" s="35">
        <f>IFERROR(VLOOKUP($A93,[1]Morningstar!$A$2:$F$477,5,FALSE),"n/a")</f>
        <v>9.1499999999999998E-2</v>
      </c>
      <c r="Z93" s="34" t="str">
        <f>IFERROR(VLOOKUP($A93,[1]Morningstar!$A$2:$F$477,6,FALSE),"n/a")</f>
        <v>n/a</v>
      </c>
    </row>
    <row r="94" spans="1:26">
      <c r="A94" s="21" t="s">
        <v>110</v>
      </c>
      <c r="B94" s="22" t="s">
        <v>28</v>
      </c>
      <c r="C94" s="46" t="str">
        <f>VLOOKUP(A94,'[1]ETF List'!$A$3:$B$185,2,FALSE)</f>
        <v>Vanguard MSCI Index International Shares ETF</v>
      </c>
      <c r="D94" s="24"/>
      <c r="E94" s="7"/>
      <c r="F94" s="25">
        <f>_xlfn.IFNA(VLOOKUP(A94,'[1]ETF List'!$A$2:$I$180,6,FALSE),"n/a")</f>
        <v>0.18</v>
      </c>
      <c r="G94" s="26">
        <f>_xlfn.IFNA(VLOOKUP(A94,'[1]ETF List'!$A$2:$J$180,8,FALSE)/1000000,"n/a")</f>
        <v>1097.4791565</v>
      </c>
      <c r="H94" s="25">
        <f>_xlfn.IFNA(VLOOKUP(A94,'[1]ETF List'!$A$2:$N$180,14,FALSE)/1000000,"n/a")</f>
        <v>45.756173699999927</v>
      </c>
      <c r="I94" s="26">
        <f>_xlfn.IFNA(VLOOKUP(A94,'[1]ETF List'!$A:$R,18,FALSE)/1000000,"n/a")</f>
        <v>28.842500000000001</v>
      </c>
      <c r="J94" s="27">
        <f>_xlfn.IFNA(VLOOKUP(A94,[1]IRESS!$A$10:$F$875,5,FALSE),"n/a")</f>
        <v>73935460.390000015</v>
      </c>
      <c r="K94" s="28">
        <f>_xlfn.IFNA(VLOOKUP(A94,[1]IRESS!$A$11:$G$684,7,FALSE),"n/a")</f>
        <v>1063799</v>
      </c>
      <c r="L94" s="27">
        <f>_xlfn.IFNA(VLOOKUP(A94,[1]IRESS!$A$10:$F$875,4,FALSE),"n/a")</f>
        <v>2863</v>
      </c>
      <c r="M94" s="29">
        <f t="shared" si="1"/>
        <v>6.7368441534497628E-2</v>
      </c>
      <c r="N94" s="30">
        <f>_xlfn.IFNA(VLOOKUP(A94,[1]Spreads!$A$1:$G$279,2,FALSE),"n/a")</f>
        <v>6.8839679688233396E-4</v>
      </c>
      <c r="O94" s="28">
        <f>IFERROR(VLOOKUP(A94,[1]Spreads!$A$1:$G$279,5,FALSE)/1000,"n/a")</f>
        <v>1074.8000104366899</v>
      </c>
      <c r="P94" s="31">
        <f>IFERROR(VLOOKUP(A94,[1]Spreads!$A$1:$G$279,6,FALSE)/1000,"n/a")</f>
        <v>1190.53237924308</v>
      </c>
      <c r="Q94" s="9"/>
      <c r="R94" s="32">
        <f>_xlfn.IFNA(VLOOKUP($A94,[1]IRESS!$A$11:$AE$696,6,FALSE)/100,"n/a")</f>
        <v>69.5</v>
      </c>
      <c r="S94" s="33">
        <f>_xlfn.IFNA(VLOOKUP($A94,[1]IRESS!$A$11:$AE$696,21,FALSE)/100,"n/a")</f>
        <v>71</v>
      </c>
      <c r="T94" s="32">
        <f>_xlfn.IFNA(VLOOKUP($A94,[1]IRESS!$A$11:$AE$696,22,FALSE)/100,"n/a")</f>
        <v>59.2</v>
      </c>
      <c r="V94" s="34">
        <f>IFERROR((VLOOKUP($A94,[1]IRESS!$A$11:$AE$696,20,FALSE)/100)/R94,"n/a")</f>
        <v>2.3897352517985606E-2</v>
      </c>
      <c r="W94" s="35">
        <f>IFERROR(VLOOKUP($A94,[1]Morningstar!$A$2:$F$477,3,FALSE),"n/a")</f>
        <v>1.37E-2</v>
      </c>
      <c r="X94" s="34">
        <f>IFERROR(VLOOKUP($A94,[1]Morningstar!$A$2:$F$477,4,FALSE),"n/a")</f>
        <v>0.1547</v>
      </c>
      <c r="Y94" s="35">
        <f>IFERROR(VLOOKUP($A94,[1]Morningstar!$A$2:$F$477,5,FALSE),"n/a")</f>
        <v>9.5200000000000007E-2</v>
      </c>
      <c r="Z94" s="34" t="str">
        <f>IFERROR(VLOOKUP($A94,[1]Morningstar!$A$2:$F$477,6,FALSE),"n/a")</f>
        <v>n/a</v>
      </c>
    </row>
    <row r="95" spans="1:26">
      <c r="A95" s="21" t="s">
        <v>111</v>
      </c>
      <c r="B95" s="22" t="s">
        <v>28</v>
      </c>
      <c r="C95" s="46" t="str">
        <f>VLOOKUP(A95,'[1]ETF List'!$A$3:$B$185,2,FALSE)</f>
        <v>Vanguard US Total Market Shares Index ETF</v>
      </c>
      <c r="D95" s="24"/>
      <c r="E95" s="7"/>
      <c r="F95" s="25">
        <f>_xlfn.IFNA(VLOOKUP(A95,'[1]ETF List'!$A$2:$I$180,6,FALSE),"n/a")</f>
        <v>0.04</v>
      </c>
      <c r="G95" s="26">
        <f>_xlfn.IFNA(VLOOKUP(A95,'[1]ETF List'!$A$2:$J$180,8,FALSE)/1000000,"n/a")</f>
        <v>1343.7113715</v>
      </c>
      <c r="H95" s="25">
        <f>_xlfn.IFNA(VLOOKUP(A95,'[1]ETF List'!$A$2:$N$180,14,FALSE)/1000000,"n/a")</f>
        <v>47.675153899999856</v>
      </c>
      <c r="I95" s="26">
        <f>_xlfn.IFNA(VLOOKUP(A95,'[1]ETF List'!$A:$R,18,FALSE)/1000000,"n/a")</f>
        <v>19.167919499999822</v>
      </c>
      <c r="J95" s="27">
        <f>_xlfn.IFNA(VLOOKUP(A95,[1]IRESS!$A$10:$F$875,5,FALSE),"n/a")</f>
        <v>52318153.31499999</v>
      </c>
      <c r="K95" s="28">
        <f>_xlfn.IFNA(VLOOKUP(A95,[1]IRESS!$A$11:$G$684,7,FALSE),"n/a")</f>
        <v>274534</v>
      </c>
      <c r="L95" s="27">
        <f>_xlfn.IFNA(VLOOKUP(A95,[1]IRESS!$A$10:$F$875,4,FALSE),"n/a")</f>
        <v>2334</v>
      </c>
      <c r="M95" s="29">
        <f t="shared" si="1"/>
        <v>3.8935558948642854E-2</v>
      </c>
      <c r="N95" s="30">
        <f>_xlfn.IFNA(VLOOKUP(A95,[1]Spreads!$A$1:$G$279,2,FALSE),"n/a")</f>
        <v>7.1692714075819895E-4</v>
      </c>
      <c r="O95" s="28">
        <f>IFERROR(VLOOKUP(A95,[1]Spreads!$A$1:$G$279,5,FALSE)/1000,"n/a")</f>
        <v>997.76012619154289</v>
      </c>
      <c r="P95" s="31">
        <f>IFERROR(VLOOKUP(A95,[1]Spreads!$A$1:$G$279,6,FALSE)/1000,"n/a")</f>
        <v>923.44214663184005</v>
      </c>
      <c r="Q95" s="9"/>
      <c r="R95" s="32">
        <f>_xlfn.IFNA(VLOOKUP($A95,[1]IRESS!$A$11:$AE$696,6,FALSE)/100,"n/a")</f>
        <v>190.56</v>
      </c>
      <c r="S95" s="33">
        <f>_xlfn.IFNA(VLOOKUP($A95,[1]IRESS!$A$11:$AE$696,21,FALSE)/100,"n/a")</f>
        <v>196.49</v>
      </c>
      <c r="T95" s="32">
        <f>_xlfn.IFNA(VLOOKUP($A95,[1]IRESS!$A$11:$AE$696,22,FALSE)/100,"n/a")</f>
        <v>155.75</v>
      </c>
      <c r="V95" s="34">
        <f>IFERROR((VLOOKUP($A95,[1]IRESS!$A$11:$AE$696,20,FALSE)/100)/R95,"n/a")</f>
        <v>1.3741509235936188E-2</v>
      </c>
      <c r="W95" s="35">
        <f>IFERROR(VLOOKUP($A95,[1]Morningstar!$A$2:$F$477,3,FALSE),"n/a")</f>
        <v>2.4799999999999999E-2</v>
      </c>
      <c r="X95" s="34">
        <f>IFERROR(VLOOKUP($A95,[1]Morningstar!$A$2:$F$477,4,FALSE),"n/a")</f>
        <v>0.19439999999999999</v>
      </c>
      <c r="Y95" s="35">
        <f>IFERROR(VLOOKUP($A95,[1]Morningstar!$A$2:$F$477,5,FALSE),"n/a")</f>
        <v>0.12770000000000001</v>
      </c>
      <c r="Z95" s="34">
        <f>IFERROR(VLOOKUP($A95,[1]Morningstar!$A$2:$F$477,6,FALSE),"n/a")</f>
        <v>0.17960000000000001</v>
      </c>
    </row>
    <row r="96" spans="1:26" s="36" customFormat="1">
      <c r="A96" s="21" t="s">
        <v>112</v>
      </c>
      <c r="B96" s="22" t="s">
        <v>43</v>
      </c>
      <c r="C96" s="46" t="str">
        <f>VLOOKUP(A96,'[1]ETF List'!$A$3:$B$185,2,FALSE)</f>
        <v>BetaShares Managed Risk Global Share Fund (Managed Fund)</v>
      </c>
      <c r="D96" s="24"/>
      <c r="E96" s="7"/>
      <c r="F96" s="25">
        <f>_xlfn.IFNA(VLOOKUP(A96,'[1]ETF List'!$A$2:$I$180,6,FALSE),"n/a")</f>
        <v>0.54</v>
      </c>
      <c r="G96" s="26">
        <f>_xlfn.IFNA(VLOOKUP(A96,'[1]ETF List'!$A$2:$J$180,8,FALSE)/1000000,"n/a")</f>
        <v>28.82323332</v>
      </c>
      <c r="H96" s="25">
        <f>_xlfn.IFNA(VLOOKUP(A96,'[1]ETF List'!$A$2:$N$180,14,FALSE)/1000000,"n/a")</f>
        <v>0.33711383999999983</v>
      </c>
      <c r="I96" s="26">
        <f>_xlfn.IFNA(VLOOKUP(A96,'[1]ETF List'!$A:$R,18,FALSE)/1000000,"n/a")</f>
        <v>0</v>
      </c>
      <c r="J96" s="27">
        <f>_xlfn.IFNA(VLOOKUP(A96,[1]IRESS!$A$10:$F$875,5,FALSE),"n/a")</f>
        <v>3657038.0199999996</v>
      </c>
      <c r="K96" s="28">
        <f>_xlfn.IFNA(VLOOKUP(A96,[1]IRESS!$A$11:$G$684,7,FALSE),"n/a")</f>
        <v>303496</v>
      </c>
      <c r="L96" s="27">
        <f>_xlfn.IFNA(VLOOKUP(A96,[1]IRESS!$A$10:$F$875,4,FALSE),"n/a")</f>
        <v>167</v>
      </c>
      <c r="M96" s="29">
        <f t="shared" si="1"/>
        <v>0.12687813262998626</v>
      </c>
      <c r="N96" s="30">
        <f>_xlfn.IFNA(VLOOKUP(A96,[1]Spreads!$A$1:$G$279,2,FALSE),"n/a")</f>
        <v>2.74751492742262E-3</v>
      </c>
      <c r="O96" s="28">
        <f>IFERROR(VLOOKUP(A96,[1]Spreads!$A$1:$G$279,5,FALSE)/1000,"n/a")</f>
        <v>1300.8142753418099</v>
      </c>
      <c r="P96" s="31">
        <f>IFERROR(VLOOKUP(A96,[1]Spreads!$A$1:$G$279,6,FALSE)/1000,"n/a")</f>
        <v>842.252146190193</v>
      </c>
      <c r="Q96" s="9"/>
      <c r="R96" s="32">
        <f>_xlfn.IFNA(VLOOKUP($A96,[1]IRESS!$A$11:$AE$696,6,FALSE)/100,"n/a")</f>
        <v>11.97</v>
      </c>
      <c r="S96" s="33">
        <f>_xlfn.IFNA(VLOOKUP($A96,[1]IRESS!$A$11:$AE$696,21,FALSE)/100,"n/a")</f>
        <v>12.19</v>
      </c>
      <c r="T96" s="32">
        <f>_xlfn.IFNA(VLOOKUP($A96,[1]IRESS!$A$11:$AE$696,22,FALSE)/100,"n/a")</f>
        <v>10.57</v>
      </c>
      <c r="U96" s="7"/>
      <c r="V96" s="34">
        <f>IFERROR((VLOOKUP($A96,[1]IRESS!$A$11:$AE$696,20,FALSE)/100)/R96,"n/a")</f>
        <v>1.5279782790309105E-2</v>
      </c>
      <c r="W96" s="35">
        <f>IFERROR(VLOOKUP($A96,[1]Morningstar!$A$2:$F$477,3,FALSE),"n/a")</f>
        <v>6.0000000000000001E-3</v>
      </c>
      <c r="X96" s="34">
        <f>IFERROR(VLOOKUP($A96,[1]Morningstar!$A$2:$F$477,4,FALSE),"n/a")</f>
        <v>0.11</v>
      </c>
      <c r="Y96" s="35" t="str">
        <f>IFERROR(VLOOKUP($A96,[1]Morningstar!$A$2:$F$477,5,FALSE),"n/a")</f>
        <v>n/a</v>
      </c>
      <c r="Z96" s="34" t="str">
        <f>IFERROR(VLOOKUP($A96,[1]Morningstar!$A$2:$F$477,6,FALSE),"n/a")</f>
        <v>n/a</v>
      </c>
    </row>
    <row r="97" spans="1:26">
      <c r="A97" s="21" t="s">
        <v>113</v>
      </c>
      <c r="B97" s="22" t="s">
        <v>28</v>
      </c>
      <c r="C97" s="46" t="str">
        <f>VLOOKUP(A97,'[1]ETF List'!$A$3:$B$185,2,FALSE)</f>
        <v>SPDR S&amp;P World ex Australian (Hedged) Fund</v>
      </c>
      <c r="D97" s="24"/>
      <c r="E97" s="7"/>
      <c r="F97" s="25">
        <f>_xlfn.IFNA(VLOOKUP(A97,'[1]ETF List'!$A$2:$I$180,6,FALSE),"n/a")</f>
        <v>0.35</v>
      </c>
      <c r="G97" s="26">
        <f>_xlfn.IFNA(VLOOKUP(A97,'[1]ETF List'!$A$2:$J$180,8,FALSE)/1000000,"n/a")</f>
        <v>82.469437709999994</v>
      </c>
      <c r="H97" s="25">
        <f>_xlfn.IFNA(VLOOKUP(A97,'[1]ETF List'!$A$2:$N$180,14,FALSE)/1000000,"n/a")</f>
        <v>-0.99207777000001074</v>
      </c>
      <c r="I97" s="26">
        <f>_xlfn.IFNA(VLOOKUP(A97,'[1]ETF List'!$A:$R,18,FALSE)/1000000,"n/a")</f>
        <v>1.1054999999999999</v>
      </c>
      <c r="J97" s="27">
        <f>_xlfn.IFNA(VLOOKUP(A97,[1]IRESS!$A$10:$F$875,5,FALSE),"n/a")</f>
        <v>2308572.31</v>
      </c>
      <c r="K97" s="28">
        <f>_xlfn.IFNA(VLOOKUP(A97,[1]IRESS!$A$11:$G$684,7,FALSE),"n/a")</f>
        <v>101428</v>
      </c>
      <c r="L97" s="27">
        <f>_xlfn.IFNA(VLOOKUP(A97,[1]IRESS!$A$10:$F$875,4,FALSE),"n/a")</f>
        <v>372</v>
      </c>
      <c r="M97" s="29">
        <f t="shared" si="1"/>
        <v>2.799306475349073E-2</v>
      </c>
      <c r="N97" s="30">
        <f>_xlfn.IFNA(VLOOKUP(A97,[1]Spreads!$A$1:$G$279,2,FALSE),"n/a")</f>
        <v>2.0068944333451102E-3</v>
      </c>
      <c r="O97" s="28">
        <f>IFERROR(VLOOKUP(A97,[1]Spreads!$A$1:$G$279,5,FALSE)/1000,"n/a")</f>
        <v>344.72380698632298</v>
      </c>
      <c r="P97" s="31">
        <f>IFERROR(VLOOKUP(A97,[1]Spreads!$A$1:$G$279,6,FALSE)/1000,"n/a")</f>
        <v>684.93539427673807</v>
      </c>
      <c r="Q97" s="9"/>
      <c r="R97" s="32">
        <f>_xlfn.IFNA(VLOOKUP($A97,[1]IRESS!$A$11:$AE$696,6,FALSE)/100,"n/a")</f>
        <v>22.11</v>
      </c>
      <c r="S97" s="33">
        <f>_xlfn.IFNA(VLOOKUP($A97,[1]IRESS!$A$11:$AE$696,21,FALSE)/100,"n/a")</f>
        <v>23.68</v>
      </c>
      <c r="T97" s="32">
        <f>_xlfn.IFNA(VLOOKUP($A97,[1]IRESS!$A$11:$AE$696,22,FALSE)/100,"n/a")</f>
        <v>20.309999999999999</v>
      </c>
      <c r="V97" s="34">
        <f>IFERROR((VLOOKUP($A97,[1]IRESS!$A$11:$AE$696,20,FALSE)/100)/R97,"n/a")</f>
        <v>2.3105789235639985E-2</v>
      </c>
      <c r="W97" s="35">
        <f>IFERROR(VLOOKUP($A97,[1]Morningstar!$A$2:$F$477,3,FALSE),"n/a")</f>
        <v>-4.0000000000000001E-3</v>
      </c>
      <c r="X97" s="34">
        <f>IFERROR(VLOOKUP($A97,[1]Morningstar!$A$2:$F$477,4,FALSE),"n/a")</f>
        <v>0.1137</v>
      </c>
      <c r="Y97" s="35">
        <f>IFERROR(VLOOKUP($A97,[1]Morningstar!$A$2:$F$477,5,FALSE),"n/a")</f>
        <v>9.7600000000000006E-2</v>
      </c>
      <c r="Z97" s="34" t="str">
        <f>IFERROR(VLOOKUP($A97,[1]Morningstar!$A$2:$F$477,6,FALSE),"n/a")</f>
        <v>n/a</v>
      </c>
    </row>
    <row r="98" spans="1:26">
      <c r="A98" s="21" t="s">
        <v>114</v>
      </c>
      <c r="B98" s="22" t="s">
        <v>28</v>
      </c>
      <c r="C98" s="46" t="str">
        <f>VLOOKUP(A98,'[1]ETF List'!$A$3:$B$185,2,FALSE)</f>
        <v>SPDR S&amp;P World ex Australian Fund</v>
      </c>
      <c r="D98" s="24"/>
      <c r="E98" s="7"/>
      <c r="F98" s="25">
        <f>_xlfn.IFNA(VLOOKUP(A98,'[1]ETF List'!$A$2:$I$180,6,FALSE),"n/a")</f>
        <v>0.3</v>
      </c>
      <c r="G98" s="26">
        <f>_xlfn.IFNA(VLOOKUP(A98,'[1]ETF List'!$A$2:$J$180,8,FALSE)/1000000,"n/a")</f>
        <v>171.50708346000002</v>
      </c>
      <c r="H98" s="25">
        <f>_xlfn.IFNA(VLOOKUP(A98,'[1]ETF List'!$A$2:$N$180,14,FALSE)/1000000,"n/a")</f>
        <v>0.56528286000001426</v>
      </c>
      <c r="I98" s="26">
        <f>_xlfn.IFNA(VLOOKUP(A98,'[1]ETF List'!$A:$R,18,FALSE)/1000000,"n/a")</f>
        <v>1.7269668600000001</v>
      </c>
      <c r="J98" s="27">
        <f>_xlfn.IFNA(VLOOKUP(A98,[1]IRESS!$A$10:$F$875,5,FALSE),"n/a")</f>
        <v>2741163.6700000004</v>
      </c>
      <c r="K98" s="28">
        <f>_xlfn.IFNA(VLOOKUP(A98,[1]IRESS!$A$11:$G$684,7,FALSE),"n/a")</f>
        <v>91746</v>
      </c>
      <c r="L98" s="27">
        <f>_xlfn.IFNA(VLOOKUP(A98,[1]IRESS!$A$10:$F$875,4,FALSE),"n/a")</f>
        <v>119</v>
      </c>
      <c r="M98" s="29">
        <f t="shared" si="1"/>
        <v>1.5982801495422271E-2</v>
      </c>
      <c r="N98" s="30">
        <f>_xlfn.IFNA(VLOOKUP(A98,[1]Spreads!$A$1:$G$279,2,FALSE),"n/a")</f>
        <v>1.69703572423149E-3</v>
      </c>
      <c r="O98" s="28">
        <f>IFERROR(VLOOKUP(A98,[1]Spreads!$A$1:$G$279,5,FALSE)/1000,"n/a")</f>
        <v>341.452652412036</v>
      </c>
      <c r="P98" s="31">
        <f>IFERROR(VLOOKUP(A98,[1]Spreads!$A$1:$G$279,6,FALSE)/1000,"n/a")</f>
        <v>992.95803341445799</v>
      </c>
      <c r="Q98" s="9"/>
      <c r="R98" s="32">
        <f>_xlfn.IFNA(VLOOKUP($A98,[1]IRESS!$A$11:$AE$696,6,FALSE)/100,"n/a")</f>
        <v>29.23</v>
      </c>
      <c r="S98" s="33">
        <f>_xlfn.IFNA(VLOOKUP($A98,[1]IRESS!$A$11:$AE$696,21,FALSE)/100,"n/a")</f>
        <v>30.45</v>
      </c>
      <c r="T98" s="32">
        <f>_xlfn.IFNA(VLOOKUP($A98,[1]IRESS!$A$11:$AE$696,22,FALSE)/100,"n/a")</f>
        <v>25.25</v>
      </c>
      <c r="V98" s="34">
        <f>IFERROR((VLOOKUP($A98,[1]IRESS!$A$11:$AE$696,20,FALSE)/100)/R98,"n/a")</f>
        <v>2.4172186110160792E-2</v>
      </c>
      <c r="W98" s="35">
        <f>IFERROR(VLOOKUP($A98,[1]Morningstar!$A$2:$F$477,3,FALSE),"n/a")</f>
        <v>1.43E-2</v>
      </c>
      <c r="X98" s="34">
        <f>IFERROR(VLOOKUP($A98,[1]Morningstar!$A$2:$F$477,4,FALSE),"n/a")</f>
        <v>0.15579999999999999</v>
      </c>
      <c r="Y98" s="35">
        <f>IFERROR(VLOOKUP($A98,[1]Morningstar!$A$2:$F$477,5,FALSE),"n/a")</f>
        <v>9.9099999999999994E-2</v>
      </c>
      <c r="Z98" s="34">
        <f>IFERROR(VLOOKUP($A98,[1]Morningstar!$A$2:$F$477,6,FALSE),"n/a")</f>
        <v>0.14680000000000001</v>
      </c>
    </row>
    <row r="99" spans="1:26">
      <c r="A99" s="37" t="s">
        <v>115</v>
      </c>
      <c r="B99" s="38"/>
      <c r="C99" s="38"/>
      <c r="D99" s="38"/>
      <c r="E99" s="7"/>
      <c r="F99" s="39"/>
      <c r="G99" s="39"/>
      <c r="H99" s="39"/>
      <c r="I99" s="39"/>
      <c r="J99" s="39"/>
      <c r="K99" s="39"/>
      <c r="L99" s="39"/>
      <c r="M99" s="40"/>
      <c r="N99" s="40"/>
      <c r="O99" s="39"/>
      <c r="P99" s="41"/>
      <c r="Q99" s="9"/>
      <c r="R99" s="42"/>
      <c r="S99" s="42"/>
      <c r="T99" s="42"/>
      <c r="V99" s="43"/>
      <c r="W99" s="44"/>
      <c r="X99" s="44"/>
      <c r="Y99" s="44"/>
      <c r="Z99" s="38"/>
    </row>
    <row r="100" spans="1:26">
      <c r="A100" s="21" t="s">
        <v>116</v>
      </c>
      <c r="B100" s="22" t="s">
        <v>28</v>
      </c>
      <c r="C100" s="46" t="str">
        <f>VLOOKUP(A100,'[1]ETF List'!$A$3:$B$185,2,FALSE)</f>
        <v>VanEck Vectors ChinaAMC A-Share ETF</v>
      </c>
      <c r="D100" s="24"/>
      <c r="E100" s="7"/>
      <c r="F100" s="25">
        <f>_xlfn.IFNA(VLOOKUP(A100,'[1]ETF List'!$A$2:$I$180,6,FALSE),"n/a")</f>
        <v>0.72</v>
      </c>
      <c r="G100" s="26">
        <f>_xlfn.IFNA(VLOOKUP(A100,'[1]ETF List'!$A$2:$J$180,8,FALSE)/1000000,"n/a")</f>
        <v>10.143601</v>
      </c>
      <c r="H100" s="25">
        <f>_xlfn.IFNA(VLOOKUP(A100,'[1]ETF List'!$A$2:$N$180,14,FALSE)/1000000,"n/a")</f>
        <v>-0.10366724000000023</v>
      </c>
      <c r="I100" s="26">
        <f>_xlfn.IFNA(VLOOKUP(A100,'[1]ETF List'!$A:$R,18,FALSE)/1000000,"n/a")</f>
        <v>0.83625000000000005</v>
      </c>
      <c r="J100" s="27">
        <f>_xlfn.IFNA(VLOOKUP(A100,[1]IRESS!$A$10:$F$875,5,FALSE),"n/a")</f>
        <v>1843880.2200000002</v>
      </c>
      <c r="K100" s="28">
        <f>_xlfn.IFNA(VLOOKUP(A100,[1]IRESS!$A$11:$G$684,7,FALSE),"n/a")</f>
        <v>32149</v>
      </c>
      <c r="L100" s="27">
        <f>_xlfn.IFNA(VLOOKUP(A100,[1]IRESS!$A$10:$F$875,4,FALSE),"n/a")</f>
        <v>165</v>
      </c>
      <c r="M100" s="29">
        <f t="shared" si="1"/>
        <v>0.1817776763892823</v>
      </c>
      <c r="N100" s="30">
        <f>_xlfn.IFNA(VLOOKUP(A100,[1]Spreads!$A$1:$G$279,2,FALSE),"n/a")</f>
        <v>4.5704245970573801E-3</v>
      </c>
      <c r="O100" s="28">
        <f>IFERROR(VLOOKUP(A100,[1]Spreads!$A$1:$G$279,5,FALSE)/1000,"n/a")</f>
        <v>92.081291953648702</v>
      </c>
      <c r="P100" s="31">
        <f>IFERROR(VLOOKUP(A100,[1]Spreads!$A$1:$G$279,6,FALSE)/1000,"n/a")</f>
        <v>100.486931738552</v>
      </c>
      <c r="Q100" s="9"/>
      <c r="R100" s="32">
        <f>_xlfn.IFNA(VLOOKUP($A100,[1]IRESS!$A$11:$AE$696,6,FALSE)/100,"n/a")</f>
        <v>55.75</v>
      </c>
      <c r="S100" s="33">
        <f>_xlfn.IFNA(VLOOKUP($A100,[1]IRESS!$A$11:$AE$696,21,FALSE)/100,"n/a")</f>
        <v>67.23</v>
      </c>
      <c r="T100" s="32">
        <f>_xlfn.IFNA(VLOOKUP($A100,[1]IRESS!$A$11:$AE$696,22,FALSE)/100,"n/a")</f>
        <v>52.97</v>
      </c>
      <c r="V100" s="34">
        <f>IFERROR((VLOOKUP($A100,[1]IRESS!$A$11:$AE$696,20,FALSE)/100)/R100,"n/a")</f>
        <v>1.0165704035874438E-2</v>
      </c>
      <c r="W100" s="35">
        <f>IFERROR(VLOOKUP($A100,[1]Morningstar!$A$2:$F$477,3,FALSE),"n/a")</f>
        <v>-8.7800000000000003E-2</v>
      </c>
      <c r="X100" s="34">
        <f>IFERROR(VLOOKUP($A100,[1]Morningstar!$A$2:$F$477,4,FALSE),"n/a")</f>
        <v>1.44E-2</v>
      </c>
      <c r="Y100" s="35">
        <f>IFERROR(VLOOKUP($A100,[1]Morningstar!$A$2:$F$477,5,FALSE),"n/a")</f>
        <v>-7.6700000000000004E-2</v>
      </c>
      <c r="Z100" s="34" t="str">
        <f>IFERROR(VLOOKUP($A100,[1]Morningstar!$A$2:$F$477,6,FALSE),"n/a")</f>
        <v>n/a</v>
      </c>
    </row>
    <row r="101" spans="1:26">
      <c r="A101" s="21" t="s">
        <v>117</v>
      </c>
      <c r="B101" s="22" t="s">
        <v>28</v>
      </c>
      <c r="C101" s="46" t="str">
        <f>VLOOKUP(A101,'[1]ETF List'!$A$3:$B$185,2,FALSE)</f>
        <v>BetaShares WisdomTree Japan  ETF - Currency Hedged</v>
      </c>
      <c r="D101" s="24"/>
      <c r="E101" s="7"/>
      <c r="F101" s="25">
        <f>_xlfn.IFNA(VLOOKUP(A101,'[1]ETF List'!$A$2:$I$180,6,FALSE),"n/a")</f>
        <v>0.57999999999999996</v>
      </c>
      <c r="G101" s="26">
        <f>_xlfn.IFNA(VLOOKUP(A101,'[1]ETF List'!$A$2:$J$180,8,FALSE)/1000000,"n/a")</f>
        <v>63.684040680000003</v>
      </c>
      <c r="H101" s="25">
        <f>_xlfn.IFNA(VLOOKUP(A101,'[1]ETF List'!$A$2:$N$180,14,FALSE)/1000000,"n/a")</f>
        <v>-3.5024620599999947</v>
      </c>
      <c r="I101" s="26">
        <f>_xlfn.IFNA(VLOOKUP(A101,'[1]ETF List'!$A:$R,18,FALSE)/1000000,"n/a")</f>
        <v>-2.6520000000000001</v>
      </c>
      <c r="J101" s="27">
        <f>_xlfn.IFNA(VLOOKUP(A101,[1]IRESS!$A$10:$F$875,5,FALSE),"n/a")</f>
        <v>5947677.9200000009</v>
      </c>
      <c r="K101" s="28">
        <f>_xlfn.IFNA(VLOOKUP(A101,[1]IRESS!$A$11:$G$684,7,FALSE),"n/a")</f>
        <v>441265</v>
      </c>
      <c r="L101" s="27">
        <f>_xlfn.IFNA(VLOOKUP(A101,[1]IRESS!$A$10:$F$875,4,FALSE),"n/a")</f>
        <v>391</v>
      </c>
      <c r="M101" s="29">
        <f t="shared" si="1"/>
        <v>9.3393538734232229E-2</v>
      </c>
      <c r="N101" s="30">
        <f>_xlfn.IFNA(VLOOKUP(A101,[1]Spreads!$A$1:$G$279,2,FALSE),"n/a")</f>
        <v>2.0542370319930102E-3</v>
      </c>
      <c r="O101" s="28">
        <f>IFERROR(VLOOKUP(A101,[1]Spreads!$A$1:$G$279,5,FALSE)/1000,"n/a")</f>
        <v>414.59029027921997</v>
      </c>
      <c r="P101" s="31">
        <f>IFERROR(VLOOKUP(A101,[1]Spreads!$A$1:$G$279,6,FALSE)/1000,"n/a")</f>
        <v>570.15046350721195</v>
      </c>
      <c r="Q101" s="9"/>
      <c r="R101" s="32">
        <f>_xlfn.IFNA(VLOOKUP($A101,[1]IRESS!$A$11:$AE$696,6,FALSE)/100,"n/a")</f>
        <v>13.26</v>
      </c>
      <c r="S101" s="33">
        <f>_xlfn.IFNA(VLOOKUP($A101,[1]IRESS!$A$11:$AE$696,21,FALSE)/100,"n/a")</f>
        <v>15.17</v>
      </c>
      <c r="T101" s="32">
        <f>_xlfn.IFNA(VLOOKUP($A101,[1]IRESS!$A$11:$AE$696,22,FALSE)/100,"n/a")</f>
        <v>12.25</v>
      </c>
      <c r="V101" s="34">
        <f>IFERROR((VLOOKUP($A101,[1]IRESS!$A$11:$AE$696,20,FALSE)/100)/R101,"n/a")</f>
        <v>2.8095098039215689E-2</v>
      </c>
      <c r="W101" s="35">
        <f>IFERROR(VLOOKUP($A101,[1]Morningstar!$A$2:$F$477,3,FALSE),"n/a")</f>
        <v>-2.1399999999999999E-2</v>
      </c>
      <c r="X101" s="34">
        <f>IFERROR(VLOOKUP($A101,[1]Morningstar!$A$2:$F$477,4,FALSE),"n/a")</f>
        <v>7.2900000000000006E-2</v>
      </c>
      <c r="Y101" s="35" t="str">
        <f>IFERROR(VLOOKUP($A101,[1]Morningstar!$A$2:$F$477,5,FALSE),"n/a")</f>
        <v>n/a</v>
      </c>
      <c r="Z101" s="34" t="str">
        <f>IFERROR(VLOOKUP($A101,[1]Morningstar!$A$2:$F$477,6,FALSE),"n/a")</f>
        <v>n/a</v>
      </c>
    </row>
    <row r="102" spans="1:26">
      <c r="A102" s="21" t="s">
        <v>118</v>
      </c>
      <c r="B102" s="22" t="s">
        <v>28</v>
      </c>
      <c r="C102" s="46" t="str">
        <f>VLOOKUP(A102,'[1]ETF List'!$A$3:$B$185,2,FALSE)</f>
        <v>iShares S&amp;P Asia 50 ETF</v>
      </c>
      <c r="D102" s="24"/>
      <c r="E102" s="7"/>
      <c r="F102" s="25">
        <f>_xlfn.IFNA(VLOOKUP(A102,'[1]ETF List'!$A$2:$I$180,6,FALSE),"n/a")</f>
        <v>0.5</v>
      </c>
      <c r="G102" s="26">
        <f>_xlfn.IFNA(VLOOKUP(A102,'[1]ETF List'!$A$2:$J$180,8,FALSE)/1000000,"n/a")</f>
        <v>433.94484629999999</v>
      </c>
      <c r="H102" s="25">
        <f>_xlfn.IFNA(VLOOKUP(A102,'[1]ETF List'!$A$2:$N$180,14,FALSE)/1000000,"n/a")</f>
        <v>-6.0644099799999598</v>
      </c>
      <c r="I102" s="26">
        <f>_xlfn.IFNA(VLOOKUP(A102,'[1]ETF List'!$A:$R,18,FALSE)/1000000,"n/a")</f>
        <v>7.7767747400000005</v>
      </c>
      <c r="J102" s="27">
        <f>_xlfn.IFNA(VLOOKUP(A102,[1]IRESS!$A$10:$F$875,5,FALSE),"n/a")</f>
        <v>27394125.460000008</v>
      </c>
      <c r="K102" s="28">
        <f>_xlfn.IFNA(VLOOKUP(A102,[1]IRESS!$A$11:$G$684,7,FALSE),"n/a")</f>
        <v>313162</v>
      </c>
      <c r="L102" s="27">
        <f>_xlfn.IFNA(VLOOKUP(A102,[1]IRESS!$A$10:$F$875,4,FALSE),"n/a")</f>
        <v>1340</v>
      </c>
      <c r="M102" s="29">
        <f t="shared" si="1"/>
        <v>6.3128127211497215E-2</v>
      </c>
      <c r="N102" s="30">
        <f>_xlfn.IFNA(VLOOKUP(A102,[1]Spreads!$A$1:$G$279,2,FALSE),"n/a")</f>
        <v>3.81442306726445E-3</v>
      </c>
      <c r="O102" s="28">
        <f>IFERROR(VLOOKUP(A102,[1]Spreads!$A$1:$G$279,5,FALSE)/1000,"n/a")</f>
        <v>496.39597520610397</v>
      </c>
      <c r="P102" s="31">
        <f>IFERROR(VLOOKUP(A102,[1]Spreads!$A$1:$G$279,6,FALSE)/1000,"n/a")</f>
        <v>375.82020586254197</v>
      </c>
      <c r="Q102" s="9"/>
      <c r="R102" s="32">
        <f>_xlfn.IFNA(VLOOKUP($A102,[1]IRESS!$A$11:$AE$696,6,FALSE)/100,"n/a")</f>
        <v>84.98</v>
      </c>
      <c r="S102" s="33">
        <f>_xlfn.IFNA(VLOOKUP($A102,[1]IRESS!$A$11:$AE$696,21,FALSE)/100,"n/a")</f>
        <v>93</v>
      </c>
      <c r="T102" s="32">
        <f>_xlfn.IFNA(VLOOKUP($A102,[1]IRESS!$A$11:$AE$696,22,FALSE)/100,"n/a")</f>
        <v>73.67</v>
      </c>
      <c r="V102" s="34">
        <f>IFERROR((VLOOKUP($A102,[1]IRESS!$A$11:$AE$696,20,FALSE)/100)/R102,"n/a")</f>
        <v>1.4000553071310897E-2</v>
      </c>
      <c r="W102" s="35">
        <f>IFERROR(VLOOKUP($A102,[1]Morningstar!$A$2:$F$477,3,FALSE),"n/a")</f>
        <v>-3.8300000000000001E-2</v>
      </c>
      <c r="X102" s="34">
        <f>IFERROR(VLOOKUP($A102,[1]Morningstar!$A$2:$F$477,4,FALSE),"n/a")</f>
        <v>0.15579999999999999</v>
      </c>
      <c r="Y102" s="35">
        <f>IFERROR(VLOOKUP($A102,[1]Morningstar!$A$2:$F$477,5,FALSE),"n/a")</f>
        <v>0.10829999999999999</v>
      </c>
      <c r="Z102" s="34">
        <f>IFERROR(VLOOKUP($A102,[1]Morningstar!$A$2:$F$477,6,FALSE),"n/a")</f>
        <v>0.15060000000000001</v>
      </c>
    </row>
    <row r="103" spans="1:26">
      <c r="A103" s="21" t="s">
        <v>119</v>
      </c>
      <c r="B103" s="22" t="s">
        <v>28</v>
      </c>
      <c r="C103" s="46" t="str">
        <f>VLOOKUP(A103,'[1]ETF List'!$A$3:$B$185,2,FALSE)</f>
        <v>iShares MSCI South Korea Capped Index ETF</v>
      </c>
      <c r="D103" s="24"/>
      <c r="E103" s="7"/>
      <c r="F103" s="25">
        <f>_xlfn.IFNA(VLOOKUP(A103,'[1]ETF List'!$A$2:$I$180,6,FALSE),"n/a")</f>
        <v>0.64</v>
      </c>
      <c r="G103" s="26">
        <f>_xlfn.IFNA(VLOOKUP(A103,'[1]ETF List'!$A$2:$J$180,8,FALSE)/1000000,"n/a")</f>
        <v>41.835246320000003</v>
      </c>
      <c r="H103" s="25">
        <f>_xlfn.IFNA(VLOOKUP(A103,'[1]ETF List'!$A$2:$N$180,14,FALSE)/1000000,"n/a")</f>
        <v>-1.1278355199999959</v>
      </c>
      <c r="I103" s="26">
        <f>_xlfn.IFNA(VLOOKUP(A103,'[1]ETF List'!$A:$R,18,FALSE)/1000000,"n/a")</f>
        <v>0.73448000000000535</v>
      </c>
      <c r="J103" s="27">
        <f>_xlfn.IFNA(VLOOKUP(A103,[1]IRESS!$A$10:$F$875,5,FALSE),"n/a")</f>
        <v>3091776.67</v>
      </c>
      <c r="K103" s="28">
        <f>_xlfn.IFNA(VLOOKUP(A103,[1]IRESS!$A$11:$G$684,7,FALSE),"n/a")</f>
        <v>32910</v>
      </c>
      <c r="L103" s="27">
        <f>_xlfn.IFNA(VLOOKUP(A103,[1]IRESS!$A$10:$F$875,4,FALSE),"n/a")</f>
        <v>433</v>
      </c>
      <c r="M103" s="29">
        <f t="shared" si="1"/>
        <v>7.3903632510033221E-2</v>
      </c>
      <c r="N103" s="30">
        <f>_xlfn.IFNA(VLOOKUP(A103,[1]Spreads!$A$1:$G$279,2,FALSE),"n/a")</f>
        <v>5.9319297255245491E-3</v>
      </c>
      <c r="O103" s="28">
        <f>IFERROR(VLOOKUP(A103,[1]Spreads!$A$1:$G$279,5,FALSE)/1000,"n/a")</f>
        <v>212.42695639628099</v>
      </c>
      <c r="P103" s="31">
        <f>IFERROR(VLOOKUP(A103,[1]Spreads!$A$1:$G$279,6,FALSE)/1000,"n/a")</f>
        <v>196.27143164485901</v>
      </c>
      <c r="Q103" s="9"/>
      <c r="R103" s="32">
        <f>_xlfn.IFNA(VLOOKUP($A103,[1]IRESS!$A$11:$AE$696,6,FALSE)/100,"n/a")</f>
        <v>91.81</v>
      </c>
      <c r="S103" s="33">
        <f>_xlfn.IFNA(VLOOKUP($A103,[1]IRESS!$A$11:$AE$696,21,FALSE)/100,"n/a")</f>
        <v>102.1</v>
      </c>
      <c r="T103" s="32">
        <f>_xlfn.IFNA(VLOOKUP($A103,[1]IRESS!$A$11:$AE$696,22,FALSE)/100,"n/a")</f>
        <v>83.2</v>
      </c>
      <c r="V103" s="34">
        <f>IFERROR((VLOOKUP($A103,[1]IRESS!$A$11:$AE$696,20,FALSE)/100)/R103,"n/a")</f>
        <v>2.5362792724104122E-2</v>
      </c>
      <c r="W103" s="35">
        <f>IFERROR(VLOOKUP($A103,[1]Morningstar!$A$2:$F$477,3,FALSE),"n/a")</f>
        <v>-5.8099999999999999E-2</v>
      </c>
      <c r="X103" s="34">
        <f>IFERROR(VLOOKUP($A103,[1]Morningstar!$A$2:$F$477,4,FALSE),"n/a")</f>
        <v>6.6400000000000001E-2</v>
      </c>
      <c r="Y103" s="35">
        <f>IFERROR(VLOOKUP($A103,[1]Morningstar!$A$2:$F$477,5,FALSE),"n/a")</f>
        <v>0.1048</v>
      </c>
      <c r="Z103" s="34">
        <f>IFERROR(VLOOKUP($A103,[1]Morningstar!$A$2:$F$477,6,FALSE),"n/a")</f>
        <v>0.1152</v>
      </c>
    </row>
    <row r="104" spans="1:26">
      <c r="A104" s="21" t="s">
        <v>120</v>
      </c>
      <c r="B104" s="22" t="s">
        <v>28</v>
      </c>
      <c r="C104" s="46" t="str">
        <f>VLOOKUP(A104,'[1]ETF List'!$A$3:$B$185,2,FALSE)</f>
        <v>iShares MSCI Taiwan ETF</v>
      </c>
      <c r="D104" s="24"/>
      <c r="E104" s="7"/>
      <c r="F104" s="25">
        <f>_xlfn.IFNA(VLOOKUP(A104,'[1]ETF List'!$A$2:$I$180,6,FALSE),"n/a")</f>
        <v>0.64</v>
      </c>
      <c r="G104" s="26">
        <f>_xlfn.IFNA(VLOOKUP(A104,'[1]ETF List'!$A$2:$J$180,8,FALSE)/1000000,"n/a")</f>
        <v>47.836182799999996</v>
      </c>
      <c r="H104" s="25">
        <f>_xlfn.IFNA(VLOOKUP(A104,'[1]ETF List'!$A$2:$N$180,14,FALSE)/1000000,"n/a")</f>
        <v>0.3244797599999979</v>
      </c>
      <c r="I104" s="26">
        <f>_xlfn.IFNA(VLOOKUP(A104,'[1]ETF List'!$A:$R,18,FALSE)/1000000,"n/a")</f>
        <v>0</v>
      </c>
      <c r="J104" s="27">
        <f>_xlfn.IFNA(VLOOKUP(A104,[1]IRESS!$A$10:$F$875,5,FALSE),"n/a")</f>
        <v>490812.87</v>
      </c>
      <c r="K104" s="28">
        <f>_xlfn.IFNA(VLOOKUP(A104,[1]IRESS!$A$11:$G$684,7,FALSE),"n/a")</f>
        <v>10034</v>
      </c>
      <c r="L104" s="27">
        <f>_xlfn.IFNA(VLOOKUP(A104,[1]IRESS!$A$10:$F$875,4,FALSE),"n/a")</f>
        <v>34</v>
      </c>
      <c r="M104" s="29">
        <f t="shared" si="1"/>
        <v>1.0260285024247378E-2</v>
      </c>
      <c r="N104" s="30">
        <f>_xlfn.IFNA(VLOOKUP(A104,[1]Spreads!$A$1:$G$279,2,FALSE),"n/a")</f>
        <v>9.9893955655814895E-3</v>
      </c>
      <c r="O104" s="28">
        <f>IFERROR(VLOOKUP(A104,[1]Spreads!$A$1:$G$279,5,FALSE)/1000,"n/a")</f>
        <v>346.730771701393</v>
      </c>
      <c r="P104" s="31">
        <f>IFERROR(VLOOKUP(A104,[1]Spreads!$A$1:$G$279,6,FALSE)/1000,"n/a")</f>
        <v>165.17854628460501</v>
      </c>
      <c r="Q104" s="9"/>
      <c r="R104" s="32">
        <f>_xlfn.IFNA(VLOOKUP($A104,[1]IRESS!$A$11:$AE$696,6,FALSE)/100,"n/a")</f>
        <v>48.65</v>
      </c>
      <c r="S104" s="33">
        <f>_xlfn.IFNA(VLOOKUP($A104,[1]IRESS!$A$11:$AE$696,21,FALSE)/100,"n/a")</f>
        <v>54.99</v>
      </c>
      <c r="T104" s="32">
        <f>_xlfn.IFNA(VLOOKUP($A104,[1]IRESS!$A$11:$AE$696,22,FALSE)/100,"n/a")</f>
        <v>45.16</v>
      </c>
      <c r="V104" s="34">
        <f>IFERROR((VLOOKUP($A104,[1]IRESS!$A$11:$AE$696,20,FALSE)/100)/R104,"n/a")</f>
        <v>2.2409434737923947E-2</v>
      </c>
      <c r="W104" s="35">
        <f>IFERROR(VLOOKUP($A104,[1]Morningstar!$A$2:$F$477,3,FALSE),"n/a")</f>
        <v>-2.3E-3</v>
      </c>
      <c r="X104" s="34">
        <f>IFERROR(VLOOKUP($A104,[1]Morningstar!$A$2:$F$477,4,FALSE),"n/a")</f>
        <v>6.7100000000000007E-2</v>
      </c>
      <c r="Y104" s="35">
        <f>IFERROR(VLOOKUP($A104,[1]Morningstar!$A$2:$F$477,5,FALSE),"n/a")</f>
        <v>8.4000000000000005E-2</v>
      </c>
      <c r="Z104" s="34">
        <f>IFERROR(VLOOKUP($A104,[1]Morningstar!$A$2:$F$477,6,FALSE),"n/a")</f>
        <v>0.13769999999999999</v>
      </c>
    </row>
    <row r="105" spans="1:26">
      <c r="A105" s="21" t="s">
        <v>121</v>
      </c>
      <c r="B105" s="22" t="s">
        <v>28</v>
      </c>
      <c r="C105" s="46" t="str">
        <f>VLOOKUP(A105,'[1]ETF List'!$A$3:$B$185,2,FALSE)</f>
        <v>iShares FTSE China Large-Cap ETF</v>
      </c>
      <c r="D105" s="24"/>
      <c r="E105" s="7"/>
      <c r="F105" s="25">
        <f>_xlfn.IFNA(VLOOKUP(A105,'[1]ETF List'!$A$2:$I$180,6,FALSE),"n/a")</f>
        <v>0.74</v>
      </c>
      <c r="G105" s="26">
        <f>_xlfn.IFNA(VLOOKUP(A105,'[1]ETF List'!$A$2:$J$180,8,FALSE)/1000000,"n/a")</f>
        <v>96.404827749999995</v>
      </c>
      <c r="H105" s="25">
        <f>_xlfn.IFNA(VLOOKUP(A105,'[1]ETF List'!$A$2:$N$180,14,FALSE)/1000000,"n/a")</f>
        <v>-4.5604009999999997</v>
      </c>
      <c r="I105" s="26">
        <f>_xlfn.IFNA(VLOOKUP(A105,'[1]ETF List'!$A:$R,18,FALSE)/1000000,"n/a")</f>
        <v>0.64009000000000005</v>
      </c>
      <c r="J105" s="27">
        <f>_xlfn.IFNA(VLOOKUP(A105,[1]IRESS!$A$10:$F$875,5,FALSE),"n/a")</f>
        <v>14199352.5</v>
      </c>
      <c r="K105" s="28">
        <f>_xlfn.IFNA(VLOOKUP(A105,[1]IRESS!$A$11:$G$684,7,FALSE),"n/a")</f>
        <v>233387</v>
      </c>
      <c r="L105" s="27">
        <f>_xlfn.IFNA(VLOOKUP(A105,[1]IRESS!$A$10:$F$875,4,FALSE),"n/a")</f>
        <v>624</v>
      </c>
      <c r="M105" s="29">
        <f t="shared" si="1"/>
        <v>0.1472888114775974</v>
      </c>
      <c r="N105" s="30">
        <f>_xlfn.IFNA(VLOOKUP(A105,[1]Spreads!$A$1:$G$279,2,FALSE),"n/a")</f>
        <v>4.0962481750186101E-3</v>
      </c>
      <c r="O105" s="28">
        <f>IFERROR(VLOOKUP(A105,[1]Spreads!$A$1:$G$279,5,FALSE)/1000,"n/a")</f>
        <v>498.70124596254595</v>
      </c>
      <c r="P105" s="31">
        <f>IFERROR(VLOOKUP(A105,[1]Spreads!$A$1:$G$279,6,FALSE)/1000,"n/a")</f>
        <v>519.18557973348095</v>
      </c>
      <c r="Q105" s="9"/>
      <c r="R105" s="32">
        <f>_xlfn.IFNA(VLOOKUP($A105,[1]IRESS!$A$11:$AE$696,6,FALSE)/100,"n/a")</f>
        <v>58.19</v>
      </c>
      <c r="S105" s="33">
        <f>_xlfn.IFNA(VLOOKUP($A105,[1]IRESS!$A$11:$AE$696,21,FALSE)/100,"n/a")</f>
        <v>67.010000000000005</v>
      </c>
      <c r="T105" s="32">
        <f>_xlfn.IFNA(VLOOKUP($A105,[1]IRESS!$A$11:$AE$696,22,FALSE)/100,"n/a")</f>
        <v>51.69</v>
      </c>
      <c r="V105" s="34">
        <f>IFERROR((VLOOKUP($A105,[1]IRESS!$A$11:$AE$696,20,FALSE)/100)/R105,"n/a")</f>
        <v>2.8113163773844308E-2</v>
      </c>
      <c r="W105" s="35">
        <f>IFERROR(VLOOKUP($A105,[1]Morningstar!$A$2:$F$477,3,FALSE),"n/a")</f>
        <v>-5.0799999999999998E-2</v>
      </c>
      <c r="X105" s="34">
        <f>IFERROR(VLOOKUP($A105,[1]Morningstar!$A$2:$F$477,4,FALSE),"n/a")</f>
        <v>0.15820000000000001</v>
      </c>
      <c r="Y105" s="35">
        <f>IFERROR(VLOOKUP($A105,[1]Morningstar!$A$2:$F$477,5,FALSE),"n/a")</f>
        <v>1.1299999999999999E-2</v>
      </c>
      <c r="Z105" s="34">
        <f>IFERROR(VLOOKUP($A105,[1]Morningstar!$A$2:$F$477,6,FALSE),"n/a")</f>
        <v>0.13009999999999999</v>
      </c>
    </row>
    <row r="106" spans="1:26" s="36" customFormat="1">
      <c r="A106" s="21" t="s">
        <v>122</v>
      </c>
      <c r="B106" s="22" t="s">
        <v>43</v>
      </c>
      <c r="C106" s="46" t="str">
        <f>VLOOKUP(A106,'[1]ETF List'!$A$3:$B$185,2,FALSE)</f>
        <v>Platinum Asia Fund (Quoted Managed Hedge Fund)</v>
      </c>
      <c r="D106" s="24"/>
      <c r="E106" s="7"/>
      <c r="F106" s="25">
        <f>_xlfn.IFNA(VLOOKUP(A106,'[1]ETF List'!$A$2:$I$180,6,FALSE),"n/a")</f>
        <v>1.1000000000000001</v>
      </c>
      <c r="G106" s="26">
        <f>_xlfn.IFNA(VLOOKUP(A106,'[1]ETF List'!$A$2:$J$180,8,FALSE)/1000000,"n/a")</f>
        <v>92.218026640000005</v>
      </c>
      <c r="H106" s="25">
        <f>_xlfn.IFNA(VLOOKUP(A106,'[1]ETF List'!$A$2:$N$180,14,FALSE)/1000000,"n/a")</f>
        <v>-14.542802640000001</v>
      </c>
      <c r="I106" s="26">
        <f>_xlfn.IFNA(VLOOKUP(A106,'[1]ETF List'!$A:$R,18,FALSE)/1000000,"n/a")</f>
        <v>8.26774232</v>
      </c>
      <c r="J106" s="27">
        <f>_xlfn.IFNA(VLOOKUP(A106,[1]IRESS!$A$10:$F$875,5,FALSE),"n/a")</f>
        <v>12720772.630000003</v>
      </c>
      <c r="K106" s="28">
        <f>_xlfn.IFNA(VLOOKUP(A106,[1]IRESS!$A$11:$G$684,7,FALSE),"n/a")</f>
        <v>2397518</v>
      </c>
      <c r="L106" s="27">
        <f>_xlfn.IFNA(VLOOKUP(A106,[1]IRESS!$A$10:$F$875,4,FALSE),"n/a")</f>
        <v>612</v>
      </c>
      <c r="M106" s="29">
        <f t="shared" si="1"/>
        <v>0.13794236434552273</v>
      </c>
      <c r="N106" s="30">
        <f>_xlfn.IFNA(VLOOKUP(A106,[1]Spreads!$A$1:$G$279,2,FALSE),"n/a")</f>
        <v>3.5265944476804401E-3</v>
      </c>
      <c r="O106" s="28">
        <f>IFERROR(VLOOKUP(A106,[1]Spreads!$A$1:$G$279,5,FALSE)/1000,"n/a")</f>
        <v>1708.59850236599</v>
      </c>
      <c r="P106" s="31">
        <f>IFERROR(VLOOKUP(A106,[1]Spreads!$A$1:$G$279,6,FALSE)/1000,"n/a")</f>
        <v>1570.0012190597799</v>
      </c>
      <c r="Q106" s="9"/>
      <c r="R106" s="32">
        <f>_xlfn.IFNA(VLOOKUP($A106,[1]IRESS!$A$11:$AE$696,6,FALSE)/100,"n/a")</f>
        <v>4.49</v>
      </c>
      <c r="S106" s="33">
        <f>_xlfn.IFNA(VLOOKUP($A106,[1]IRESS!$A$11:$AE$696,21,FALSE)/100,"n/a")</f>
        <v>5.93</v>
      </c>
      <c r="T106" s="32">
        <f>_xlfn.IFNA(VLOOKUP($A106,[1]IRESS!$A$11:$AE$696,22,FALSE)/100,"n/a")</f>
        <v>4.34</v>
      </c>
      <c r="U106" s="7"/>
      <c r="V106" s="34">
        <f>IFERROR((VLOOKUP($A106,[1]IRESS!$A$11:$AE$696,20,FALSE)/100)/R106,"n/a")</f>
        <v>0.23123407572383073</v>
      </c>
      <c r="W106" s="35">
        <f>IFERROR(VLOOKUP($A106,[1]Morningstar!$A$2:$F$477,3,FALSE),"n/a")</f>
        <v>-3.39E-2</v>
      </c>
      <c r="X106" s="34" t="str">
        <f>IFERROR(VLOOKUP($A106,[1]Morningstar!$A$2:$F$477,4,FALSE),"n/a")</f>
        <v>n/a</v>
      </c>
      <c r="Y106" s="35" t="str">
        <f>IFERROR(VLOOKUP($A106,[1]Morningstar!$A$2:$F$477,5,FALSE),"n/a")</f>
        <v>n/a</v>
      </c>
      <c r="Z106" s="34" t="str">
        <f>IFERROR(VLOOKUP($A106,[1]Morningstar!$A$2:$F$477,6,FALSE),"n/a")</f>
        <v>n/a</v>
      </c>
    </row>
    <row r="107" spans="1:26" s="45" customFormat="1">
      <c r="A107" s="21" t="s">
        <v>123</v>
      </c>
      <c r="B107" s="22" t="s">
        <v>28</v>
      </c>
      <c r="C107" s="46" t="str">
        <f>VLOOKUP(A107,'[1]ETF List'!$A$3:$B$185,2,FALSE)</f>
        <v>UBS IQ MSCI Asia APEX 50 Ethical ETF</v>
      </c>
      <c r="D107" s="24"/>
      <c r="E107" s="7"/>
      <c r="F107" s="25">
        <f>_xlfn.IFNA(VLOOKUP(A107,'[1]ETF List'!$A$2:$I$180,6,FALSE),"n/a")</f>
        <v>0.45</v>
      </c>
      <c r="G107" s="26">
        <f>_xlfn.IFNA(VLOOKUP(A107,'[1]ETF List'!$A$2:$J$180,8,FALSE)/1000000,"n/a")</f>
        <v>8.9409154999999991</v>
      </c>
      <c r="H107" s="25">
        <f>_xlfn.IFNA(VLOOKUP(A107,'[1]ETF List'!$A$2:$N$180,14,FALSE)/1000000,"n/a")</f>
        <v>-0.28005999999999998</v>
      </c>
      <c r="I107" s="26">
        <f>_xlfn.IFNA(VLOOKUP(A107,'[1]ETF List'!$A:$R,18,FALSE)/1000000,"n/a")</f>
        <v>0</v>
      </c>
      <c r="J107" s="27">
        <f>_xlfn.IFNA(VLOOKUP(A107,[1]IRESS!$A$10:$F$875,5,FALSE),"n/a")</f>
        <v>1015253.0199999999</v>
      </c>
      <c r="K107" s="28">
        <f>_xlfn.IFNA(VLOOKUP(A107,[1]IRESS!$A$11:$G$684,7,FALSE),"n/a")</f>
        <v>37992</v>
      </c>
      <c r="L107" s="27">
        <f>_xlfn.IFNA(VLOOKUP(A107,[1]IRESS!$A$10:$F$875,4,FALSE),"n/a")</f>
        <v>89</v>
      </c>
      <c r="M107" s="29">
        <f t="shared" si="1"/>
        <v>0.11355134941158988</v>
      </c>
      <c r="N107" s="30">
        <f>_xlfn.IFNA(VLOOKUP(A107,[1]Spreads!$A$1:$G$279,2,FALSE),"n/a")</f>
        <v>2.7826981868111201E-3</v>
      </c>
      <c r="O107" s="28">
        <f>IFERROR(VLOOKUP(A107,[1]Spreads!$A$1:$G$279,5,FALSE)/1000,"n/a")</f>
        <v>337.25801326152401</v>
      </c>
      <c r="P107" s="31">
        <f>IFERROR(VLOOKUP(A107,[1]Spreads!$A$1:$G$279,6,FALSE)/1000,"n/a")</f>
        <v>810.69518525083504</v>
      </c>
      <c r="Q107" s="9"/>
      <c r="R107" s="32">
        <f>_xlfn.IFNA(VLOOKUP($A107,[1]IRESS!$A$11:$AE$696,6,FALSE)/100,"n/a")</f>
        <v>25.54</v>
      </c>
      <c r="S107" s="33">
        <f>_xlfn.IFNA(VLOOKUP($A107,[1]IRESS!$A$11:$AE$696,21,FALSE)/100,"n/a")</f>
        <v>27.79</v>
      </c>
      <c r="T107" s="32">
        <f>_xlfn.IFNA(VLOOKUP($A107,[1]IRESS!$A$11:$AE$696,22,FALSE)/100,"n/a")</f>
        <v>22.04</v>
      </c>
      <c r="U107" s="7"/>
      <c r="V107" s="34">
        <f>IFERROR((VLOOKUP($A107,[1]IRESS!$A$11:$AE$696,20,FALSE)/100)/R107,"n/a")</f>
        <v>1.0259279561472202E-2</v>
      </c>
      <c r="W107" s="35">
        <f>IFERROR(VLOOKUP($A107,[1]Morningstar!$A$2:$F$477,3,FALSE),"n/a")</f>
        <v>-3.85E-2</v>
      </c>
      <c r="X107" s="34">
        <f>IFERROR(VLOOKUP($A107,[1]Morningstar!$A$2:$F$477,4,FALSE),"n/a")</f>
        <v>0.1643</v>
      </c>
      <c r="Y107" s="35">
        <f>IFERROR(VLOOKUP($A107,[1]Morningstar!$A$2:$F$477,5,FALSE),"n/a")</f>
        <v>0.11840000000000001</v>
      </c>
      <c r="Z107" s="34" t="str">
        <f>IFERROR(VLOOKUP($A107,[1]Morningstar!$A$2:$F$477,6,FALSE),"n/a")</f>
        <v>n/a</v>
      </c>
    </row>
    <row r="108" spans="1:26">
      <c r="A108" s="21" t="s">
        <v>124</v>
      </c>
      <c r="B108" s="22" t="s">
        <v>28</v>
      </c>
      <c r="C108" s="46" t="str">
        <f>VLOOKUP(A108,'[1]ETF List'!$A$3:$B$185,2,FALSE)</f>
        <v>Vanguard FTSE Asia Ex-Japan Shares Index ETF</v>
      </c>
      <c r="D108" s="24"/>
      <c r="E108" s="7"/>
      <c r="F108" s="25">
        <f>_xlfn.IFNA(VLOOKUP(A108,'[1]ETF List'!$A$2:$I$180,6,FALSE),"n/a")</f>
        <v>0.4</v>
      </c>
      <c r="G108" s="26">
        <f>_xlfn.IFNA(VLOOKUP(A108,'[1]ETF List'!$A$2:$J$180,8,FALSE)/1000000,"n/a")</f>
        <v>97.289280000000005</v>
      </c>
      <c r="H108" s="25">
        <f>_xlfn.IFNA(VLOOKUP(A108,'[1]ETF List'!$A$2:$N$180,14,FALSE)/1000000,"n/a")</f>
        <v>8.8196000000000154</v>
      </c>
      <c r="I108" s="26">
        <f>_xlfn.IFNA(VLOOKUP(A108,'[1]ETF List'!$A:$R,18,FALSE)/1000000,"n/a")</f>
        <v>11.070399999999999</v>
      </c>
      <c r="J108" s="27">
        <f>_xlfn.IFNA(VLOOKUP(A108,[1]IRESS!$A$10:$F$875,5,FALSE),"n/a")</f>
        <v>25907970.989999995</v>
      </c>
      <c r="K108" s="28">
        <f>_xlfn.IFNA(VLOOKUP(A108,[1]IRESS!$A$11:$G$684,7,FALSE),"n/a")</f>
        <v>388576</v>
      </c>
      <c r="L108" s="27">
        <f>_xlfn.IFNA(VLOOKUP(A108,[1]IRESS!$A$10:$F$875,4,FALSE),"n/a")</f>
        <v>711</v>
      </c>
      <c r="M108" s="29">
        <f t="shared" si="1"/>
        <v>0.26629831148919997</v>
      </c>
      <c r="N108" s="30">
        <f>_xlfn.IFNA(VLOOKUP(A108,[1]Spreads!$A$1:$G$279,2,FALSE),"n/a")</f>
        <v>2.0524920541382598E-3</v>
      </c>
      <c r="O108" s="28">
        <f>IFERROR(VLOOKUP(A108,[1]Spreads!$A$1:$G$279,5,FALSE)/1000,"n/a")</f>
        <v>516.74498520434599</v>
      </c>
      <c r="P108" s="31">
        <f>IFERROR(VLOOKUP(A108,[1]Spreads!$A$1:$G$279,6,FALSE)/1000,"n/a")</f>
        <v>525.02652050442009</v>
      </c>
      <c r="Q108" s="9"/>
      <c r="R108" s="32">
        <f>_xlfn.IFNA(VLOOKUP($A108,[1]IRESS!$A$11:$AE$696,6,FALSE)/100,"n/a")</f>
        <v>65.12</v>
      </c>
      <c r="S108" s="33">
        <f>_xlfn.IFNA(VLOOKUP($A108,[1]IRESS!$A$11:$AE$696,21,FALSE)/100,"n/a")</f>
        <v>69.8</v>
      </c>
      <c r="T108" s="32">
        <f>_xlfn.IFNA(VLOOKUP($A108,[1]IRESS!$A$11:$AE$696,22,FALSE)/100,"n/a")</f>
        <v>58.79</v>
      </c>
      <c r="V108" s="34">
        <f>IFERROR((VLOOKUP($A108,[1]IRESS!$A$11:$AE$696,20,FALSE)/100)/R108,"n/a")</f>
        <v>2.787507678132678E-2</v>
      </c>
      <c r="W108" s="35">
        <f>IFERROR(VLOOKUP($A108,[1]Morningstar!$A$2:$F$477,3,FALSE),"n/a")</f>
        <v>-4.0899999999999999E-2</v>
      </c>
      <c r="X108" s="34">
        <f>IFERROR(VLOOKUP($A108,[1]Morningstar!$A$2:$F$477,4,FALSE),"n/a")</f>
        <v>0.1216</v>
      </c>
      <c r="Y108" s="35" t="str">
        <f>IFERROR(VLOOKUP($A108,[1]Morningstar!$A$2:$F$477,5,FALSE),"n/a")</f>
        <v>n/a</v>
      </c>
      <c r="Z108" s="34" t="str">
        <f>IFERROR(VLOOKUP($A108,[1]Morningstar!$A$2:$F$477,6,FALSE),"n/a")</f>
        <v>n/a</v>
      </c>
    </row>
    <row r="109" spans="1:26">
      <c r="A109" s="37" t="s">
        <v>125</v>
      </c>
      <c r="B109" s="38"/>
      <c r="C109" s="38"/>
      <c r="D109" s="38"/>
      <c r="E109" s="7"/>
      <c r="F109" s="39"/>
      <c r="G109" s="39"/>
      <c r="H109" s="39"/>
      <c r="I109" s="39"/>
      <c r="J109" s="39"/>
      <c r="K109" s="39"/>
      <c r="L109" s="39"/>
      <c r="M109" s="40"/>
      <c r="N109" s="40"/>
      <c r="O109" s="39"/>
      <c r="P109" s="41"/>
      <c r="Q109" s="9"/>
      <c r="R109" s="42"/>
      <c r="S109" s="42"/>
      <c r="T109" s="42"/>
      <c r="V109" s="43"/>
      <c r="W109" s="44"/>
      <c r="X109" s="44"/>
      <c r="Y109" s="44"/>
      <c r="Z109" s="38"/>
    </row>
    <row r="110" spans="1:26">
      <c r="A110" s="21" t="s">
        <v>126</v>
      </c>
      <c r="B110" s="22" t="s">
        <v>28</v>
      </c>
      <c r="C110" s="46" t="str">
        <f>VLOOKUP(A110,'[1]ETF List'!$A$3:$B$185,2,FALSE)</f>
        <v>Vaneck Vectors MSCI Multifactor Emerging Markets Equity ETF</v>
      </c>
      <c r="D110" s="24"/>
      <c r="E110" s="7"/>
      <c r="F110" s="25">
        <f>_xlfn.IFNA(VLOOKUP(A110,'[1]ETF List'!$A$2:$I$180,6,FALSE),"n/a")</f>
        <v>0.69</v>
      </c>
      <c r="G110" s="26">
        <f>_xlfn.IFNA(VLOOKUP(A110,'[1]ETF List'!$A$2:$J$180,8,FALSE)/1000000,"n/a")</f>
        <v>3.8559999999999999</v>
      </c>
      <c r="H110" s="25">
        <f>_xlfn.IFNA(VLOOKUP(A110,'[1]ETF List'!$A$2:$N$180,14,FALSE)/1000000,"n/a")</f>
        <v>-0.184</v>
      </c>
      <c r="I110" s="26">
        <f>_xlfn.IFNA(VLOOKUP(A110,'[1]ETF List'!$A:$R,18,FALSE)/1000000,"n/a")</f>
        <v>0</v>
      </c>
      <c r="J110" s="27">
        <f>_xlfn.IFNA(VLOOKUP(A110,[1]IRESS!$A$10:$F$875,5,FALSE),"n/a")</f>
        <v>1821411.4100000001</v>
      </c>
      <c r="K110" s="28">
        <f>_xlfn.IFNA(VLOOKUP(A110,[1]IRESS!$A$11:$G$684,7,FALSE),"n/a")</f>
        <v>91506</v>
      </c>
      <c r="L110" s="27">
        <f>_xlfn.IFNA(VLOOKUP(A110,[1]IRESS!$A$10:$F$875,4,FALSE),"n/a")</f>
        <v>42</v>
      </c>
      <c r="M110" s="29">
        <f t="shared" si="1"/>
        <v>0.47235773080912868</v>
      </c>
      <c r="N110" s="30">
        <f>_xlfn.IFNA(VLOOKUP(A110,[1]Spreads!$A$1:$G$279,2,FALSE),"n/a")</f>
        <v>4.7111778224333701E-3</v>
      </c>
      <c r="O110" s="28">
        <f>IFERROR(VLOOKUP(A110,[1]Spreads!$A$1:$G$279,5,FALSE)/1000,"n/a")</f>
        <v>1051.4318102836701</v>
      </c>
      <c r="P110" s="31">
        <f>IFERROR(VLOOKUP(A110,[1]Spreads!$A$1:$G$279,6,FALSE)/1000,"n/a")</f>
        <v>101.14325868164501</v>
      </c>
      <c r="Q110" s="9"/>
      <c r="R110" s="32">
        <f>_xlfn.IFNA(VLOOKUP($A110,[1]IRESS!$A$11:$AE$696,6,FALSE)/100,"n/a")</f>
        <v>19.28</v>
      </c>
      <c r="S110" s="33">
        <f>_xlfn.IFNA(VLOOKUP($A110,[1]IRESS!$A$11:$AE$696,21,FALSE)/100,"n/a")</f>
        <v>20.75</v>
      </c>
      <c r="T110" s="32">
        <f>_xlfn.IFNA(VLOOKUP($A110,[1]IRESS!$A$11:$AE$696,22,FALSE)/100,"n/a")</f>
        <v>19.100000000000001</v>
      </c>
      <c r="V110" s="34">
        <f>IFERROR((VLOOKUP($A110,[1]IRESS!$A$11:$AE$696,20,FALSE)/100)/R110,"n/a")</f>
        <v>4.6680497925311202E-3</v>
      </c>
      <c r="W110" s="35">
        <f>IFERROR(VLOOKUP($A110,[1]Morningstar!$A$2:$F$477,3,FALSE),"n/a")</f>
        <v>-6.2300000000000001E-2</v>
      </c>
      <c r="X110" s="34" t="str">
        <f>IFERROR(VLOOKUP($A110,[1]Morningstar!$A$2:$F$477,4,FALSE),"n/a")</f>
        <v>n/a</v>
      </c>
      <c r="Y110" s="35" t="str">
        <f>IFERROR(VLOOKUP($A110,[1]Morningstar!$A$2:$F$477,5,FALSE),"n/a")</f>
        <v>n/a</v>
      </c>
      <c r="Z110" s="34" t="str">
        <f>IFERROR(VLOOKUP($A110,[1]Morningstar!$A$2:$F$477,6,FALSE),"n/a")</f>
        <v>n/a</v>
      </c>
    </row>
    <row r="111" spans="1:26" s="36" customFormat="1">
      <c r="A111" s="21" t="s">
        <v>127</v>
      </c>
      <c r="B111" s="22" t="s">
        <v>28</v>
      </c>
      <c r="C111" s="46" t="str">
        <f>VLOOKUP(A111,'[1]ETF List'!$A$3:$B$185,2,FALSE)</f>
        <v>iShares MSCI Emerging Markets ETF</v>
      </c>
      <c r="D111" s="24"/>
      <c r="E111" s="7"/>
      <c r="F111" s="25">
        <f>_xlfn.IFNA(VLOOKUP(A111,'[1]ETF List'!$A$2:$I$180,6,FALSE),"n/a")</f>
        <v>0.69</v>
      </c>
      <c r="G111" s="26">
        <f>_xlfn.IFNA(VLOOKUP(A111,'[1]ETF List'!$A$2:$J$180,8,FALSE)/1000000,"n/a")</f>
        <v>615.12192879999998</v>
      </c>
      <c r="H111" s="25">
        <f>_xlfn.IFNA(VLOOKUP(A111,'[1]ETF List'!$A$2:$N$180,14,FALSE)/1000000,"n/a")</f>
        <v>-19.541588000000001</v>
      </c>
      <c r="I111" s="26">
        <f>_xlfn.IFNA(VLOOKUP(A111,'[1]ETF List'!$A:$R,18,FALSE)/1000000,"n/a")</f>
        <v>0.40977999999999998</v>
      </c>
      <c r="J111" s="27">
        <f>_xlfn.IFNA(VLOOKUP(A111,[1]IRESS!$A$10:$F$875,5,FALSE),"n/a")</f>
        <v>56307603.645000003</v>
      </c>
      <c r="K111" s="28">
        <f>_xlfn.IFNA(VLOOKUP(A111,[1]IRESS!$A$11:$G$684,7,FALSE),"n/a")</f>
        <v>940269</v>
      </c>
      <c r="L111" s="27">
        <f>_xlfn.IFNA(VLOOKUP(A111,[1]IRESS!$A$10:$F$875,4,FALSE),"n/a")</f>
        <v>2311</v>
      </c>
      <c r="M111" s="29">
        <f t="shared" si="1"/>
        <v>9.1538930752878098E-2</v>
      </c>
      <c r="N111" s="30">
        <f>_xlfn.IFNA(VLOOKUP(A111,[1]Spreads!$A$1:$G$279,2,FALSE),"n/a")</f>
        <v>1.0979933919324301E-3</v>
      </c>
      <c r="O111" s="28">
        <f>IFERROR(VLOOKUP(A111,[1]Spreads!$A$1:$G$279,5,FALSE)/1000,"n/a")</f>
        <v>1072.4640464331999</v>
      </c>
      <c r="P111" s="31">
        <f>IFERROR(VLOOKUP(A111,[1]Spreads!$A$1:$G$279,6,FALSE)/1000,"n/a")</f>
        <v>1058.8776597273302</v>
      </c>
      <c r="Q111" s="9"/>
      <c r="R111" s="32">
        <f>_xlfn.IFNA(VLOOKUP($A111,[1]IRESS!$A$11:$AE$696,6,FALSE)/100,"n/a")</f>
        <v>58.54</v>
      </c>
      <c r="S111" s="33">
        <f>_xlfn.IFNA(VLOOKUP($A111,[1]IRESS!$A$11:$AE$696,21,FALSE)/100,"n/a")</f>
        <v>65.13</v>
      </c>
      <c r="T111" s="32">
        <f>_xlfn.IFNA(VLOOKUP($A111,[1]IRESS!$A$11:$AE$696,22,FALSE)/100,"n/a")</f>
        <v>53.31</v>
      </c>
      <c r="U111" s="7"/>
      <c r="V111" s="34">
        <f>IFERROR((VLOOKUP($A111,[1]IRESS!$A$11:$AE$696,20,FALSE)/100)/R111,"n/a")</f>
        <v>1.8380953194396997E-2</v>
      </c>
      <c r="W111" s="35">
        <f>IFERROR(VLOOKUP($A111,[1]Morningstar!$A$2:$F$477,3,FALSE),"n/a")</f>
        <v>-3.8300000000000001E-2</v>
      </c>
      <c r="X111" s="34">
        <f>IFERROR(VLOOKUP($A111,[1]Morningstar!$A$2:$F$477,4,FALSE),"n/a")</f>
        <v>0.1101</v>
      </c>
      <c r="Y111" s="35">
        <f>IFERROR(VLOOKUP($A111,[1]Morningstar!$A$2:$F$477,5,FALSE),"n/a")</f>
        <v>6.1199999999999997E-2</v>
      </c>
      <c r="Z111" s="34">
        <f>IFERROR(VLOOKUP($A111,[1]Morningstar!$A$2:$F$477,6,FALSE),"n/a")</f>
        <v>8.9700000000000002E-2</v>
      </c>
    </row>
    <row r="112" spans="1:26">
      <c r="A112" s="21" t="s">
        <v>128</v>
      </c>
      <c r="B112" s="22" t="s">
        <v>28</v>
      </c>
      <c r="C112" s="46" t="str">
        <f>VLOOKUP(A112,'[1]ETF List'!$A$3:$B$185,2,FALSE)</f>
        <v>Vanguard FTSE Emerging Markets Shares ETF</v>
      </c>
      <c r="D112" s="24"/>
      <c r="E112" s="7"/>
      <c r="F112" s="25">
        <f>_xlfn.IFNA(VLOOKUP(A112,'[1]ETF List'!$A$2:$I$180,6,FALSE),"n/a")</f>
        <v>0.48</v>
      </c>
      <c r="G112" s="26">
        <f>_xlfn.IFNA(VLOOKUP(A112,'[1]ETF List'!$A$2:$J$180,8,FALSE)/1000000,"n/a")</f>
        <v>203.94568818000002</v>
      </c>
      <c r="H112" s="25">
        <f>_xlfn.IFNA(VLOOKUP(A112,'[1]ETF List'!$A$2:$N$180,14,FALSE)/1000000,"n/a")</f>
        <v>-6.1904836999999882</v>
      </c>
      <c r="I112" s="26">
        <f>_xlfn.IFNA(VLOOKUP(A112,'[1]ETF List'!$A:$R,18,FALSE)/1000000,"n/a")</f>
        <v>1.2758</v>
      </c>
      <c r="J112" s="27">
        <f>_xlfn.IFNA(VLOOKUP(A112,[1]IRESS!$A$10:$F$875,5,FALSE),"n/a")</f>
        <v>21249035.600000005</v>
      </c>
      <c r="K112" s="28">
        <f>_xlfn.IFNA(VLOOKUP(A112,[1]IRESS!$A$11:$G$684,7,FALSE),"n/a")</f>
        <v>325067</v>
      </c>
      <c r="L112" s="27">
        <f>_xlfn.IFNA(VLOOKUP(A112,[1]IRESS!$A$10:$F$875,4,FALSE),"n/a")</f>
        <v>1237</v>
      </c>
      <c r="M112" s="29">
        <f t="shared" si="1"/>
        <v>0.10418967809334544</v>
      </c>
      <c r="N112" s="30">
        <f>_xlfn.IFNA(VLOOKUP(A112,[1]Spreads!$A$1:$G$279,2,FALSE),"n/a")</f>
        <v>1.8892657203525001E-3</v>
      </c>
      <c r="O112" s="28">
        <f>IFERROR(VLOOKUP(A112,[1]Spreads!$A$1:$G$279,5,FALSE)/1000,"n/a")</f>
        <v>368.31681645326603</v>
      </c>
      <c r="P112" s="31">
        <f>IFERROR(VLOOKUP(A112,[1]Spreads!$A$1:$G$279,6,FALSE)/1000,"n/a")</f>
        <v>378.310486539333</v>
      </c>
      <c r="Q112" s="9"/>
      <c r="R112" s="32">
        <f>_xlfn.IFNA(VLOOKUP($A112,[1]IRESS!$A$11:$AE$696,6,FALSE)/100,"n/a")</f>
        <v>63.74</v>
      </c>
      <c r="S112" s="33">
        <f>_xlfn.IFNA(VLOOKUP($A112,[1]IRESS!$A$11:$AE$696,21,FALSE)/100,"n/a")</f>
        <v>70.599999999999994</v>
      </c>
      <c r="T112" s="32">
        <f>_xlfn.IFNA(VLOOKUP($A112,[1]IRESS!$A$11:$AE$696,22,FALSE)/100,"n/a")</f>
        <v>59.66</v>
      </c>
      <c r="V112" s="34">
        <f>IFERROR((VLOOKUP($A112,[1]IRESS!$A$11:$AE$696,20,FALSE)/100)/R112,"n/a")</f>
        <v>1.7687668653906492E-2</v>
      </c>
      <c r="W112" s="35">
        <f>IFERROR(VLOOKUP($A112,[1]Morningstar!$A$2:$F$477,3,FALSE),"n/a")</f>
        <v>-4.8099999999999997E-2</v>
      </c>
      <c r="X112" s="34">
        <f>IFERROR(VLOOKUP($A112,[1]Morningstar!$A$2:$F$477,4,FALSE),"n/a")</f>
        <v>8.6999999999999994E-2</v>
      </c>
      <c r="Y112" s="35">
        <f>IFERROR(VLOOKUP($A112,[1]Morningstar!$A$2:$F$477,5,FALSE),"n/a")</f>
        <v>3.8800000000000001E-2</v>
      </c>
      <c r="Z112" s="34" t="str">
        <f>IFERROR(VLOOKUP($A112,[1]Morningstar!$A$2:$F$477,6,FALSE),"n/a")</f>
        <v>n/a</v>
      </c>
    </row>
    <row r="113" spans="1:26">
      <c r="A113" s="21" t="s">
        <v>129</v>
      </c>
      <c r="B113" s="22" t="s">
        <v>28</v>
      </c>
      <c r="C113" s="46" t="str">
        <f>VLOOKUP(A113,'[1]ETF List'!$A$3:$B$185,2,FALSE)</f>
        <v>SPDR S&amp;P Emerging Markets Fund</v>
      </c>
      <c r="D113" s="24"/>
      <c r="E113" s="7"/>
      <c r="F113" s="25">
        <f>_xlfn.IFNA(VLOOKUP(A113,'[1]ETF List'!$A$2:$I$180,6,FALSE),"n/a")</f>
        <v>0.65</v>
      </c>
      <c r="G113" s="26">
        <f>_xlfn.IFNA(VLOOKUP(A113,'[1]ETF List'!$A$2:$J$180,8,FALSE)/1000000,"n/a")</f>
        <v>19.5512625</v>
      </c>
      <c r="H113" s="25">
        <f>_xlfn.IFNA(VLOOKUP(A113,'[1]ETF List'!$A$2:$N$180,14,FALSE)/1000000,"n/a")</f>
        <v>-0.97035749999999998</v>
      </c>
      <c r="I113" s="26">
        <f>_xlfn.IFNA(VLOOKUP(A113,'[1]ETF List'!$A:$R,18,FALSE)/1000000,"n/a")</f>
        <v>-2.3690517991781235E-15</v>
      </c>
      <c r="J113" s="27">
        <f>_xlfn.IFNA(VLOOKUP(A113,[1]IRESS!$A$10:$F$875,5,FALSE),"n/a")</f>
        <v>1819348.05</v>
      </c>
      <c r="K113" s="28">
        <f>_xlfn.IFNA(VLOOKUP(A113,[1]IRESS!$A$11:$G$684,7,FALSE),"n/a")</f>
        <v>86264</v>
      </c>
      <c r="L113" s="27">
        <f>_xlfn.IFNA(VLOOKUP(A113,[1]IRESS!$A$10:$F$875,4,FALSE),"n/a")</f>
        <v>145</v>
      </c>
      <c r="M113" s="29">
        <f t="shared" si="1"/>
        <v>9.3055272006091677E-2</v>
      </c>
      <c r="N113" s="30">
        <f>_xlfn.IFNA(VLOOKUP(A113,[1]Spreads!$A$1:$G$279,2,FALSE),"n/a")</f>
        <v>2.4913781845701598E-3</v>
      </c>
      <c r="O113" s="28">
        <f>IFERROR(VLOOKUP(A113,[1]Spreads!$A$1:$G$279,5,FALSE)/1000,"n/a")</f>
        <v>174.19634400576101</v>
      </c>
      <c r="P113" s="31">
        <f>IFERROR(VLOOKUP(A113,[1]Spreads!$A$1:$G$279,6,FALSE)/1000,"n/a")</f>
        <v>198.97224036276199</v>
      </c>
      <c r="Q113" s="9"/>
      <c r="R113" s="32">
        <f>_xlfn.IFNA(VLOOKUP($A113,[1]IRESS!$A$11:$AE$696,6,FALSE)/100,"n/a")</f>
        <v>20.350000000000001</v>
      </c>
      <c r="S113" s="33">
        <f>_xlfn.IFNA(VLOOKUP($A113,[1]IRESS!$A$11:$AE$696,21,FALSE)/100,"n/a")</f>
        <v>22.91</v>
      </c>
      <c r="T113" s="32">
        <f>_xlfn.IFNA(VLOOKUP($A113,[1]IRESS!$A$11:$AE$696,22,FALSE)/100,"n/a")</f>
        <v>18.84</v>
      </c>
      <c r="V113" s="34">
        <f>IFERROR((VLOOKUP($A113,[1]IRESS!$A$11:$AE$696,20,FALSE)/100)/R113,"n/a")</f>
        <v>2.5035577395577394E-2</v>
      </c>
      <c r="W113" s="35">
        <f>IFERROR(VLOOKUP($A113,[1]Morningstar!$A$2:$F$477,3,FALSE),"n/a")</f>
        <v>-3.04E-2</v>
      </c>
      <c r="X113" s="34">
        <f>IFERROR(VLOOKUP($A113,[1]Morningstar!$A$2:$F$477,4,FALSE),"n/a")</f>
        <v>0.1109</v>
      </c>
      <c r="Y113" s="35">
        <f>IFERROR(VLOOKUP($A113,[1]Morningstar!$A$2:$F$477,5,FALSE),"n/a")</f>
        <v>6.2E-2</v>
      </c>
      <c r="Z113" s="34" t="str">
        <f>IFERROR(VLOOKUP($A113,[1]Morningstar!$A$2:$F$477,6,FALSE),"n/a")</f>
        <v>n/a</v>
      </c>
    </row>
    <row r="114" spans="1:26">
      <c r="A114" s="37" t="s">
        <v>130</v>
      </c>
      <c r="B114" s="38"/>
      <c r="C114" s="38"/>
      <c r="D114" s="38"/>
      <c r="E114" s="7"/>
      <c r="F114" s="39"/>
      <c r="G114" s="39"/>
      <c r="H114" s="39"/>
      <c r="I114" s="39"/>
      <c r="J114" s="39"/>
      <c r="K114" s="39"/>
      <c r="L114" s="39"/>
      <c r="M114" s="40"/>
      <c r="N114" s="40"/>
      <c r="O114" s="39"/>
      <c r="P114" s="41"/>
      <c r="Q114" s="9"/>
      <c r="R114" s="42"/>
      <c r="S114" s="42"/>
      <c r="T114" s="42"/>
      <c r="V114" s="43"/>
      <c r="W114" s="44"/>
      <c r="X114" s="44"/>
      <c r="Y114" s="44"/>
      <c r="Z114" s="38"/>
    </row>
    <row r="115" spans="1:26">
      <c r="A115" s="21" t="s">
        <v>131</v>
      </c>
      <c r="B115" s="22" t="s">
        <v>28</v>
      </c>
      <c r="C115" s="46" t="str">
        <f>VLOOKUP(A115,'[1]ETF List'!$A$3:$B$185,2,FALSE)</f>
        <v>BetaShares Global Banks ETF - Currency Hedged</v>
      </c>
      <c r="D115" s="24"/>
      <c r="E115" s="7"/>
      <c r="F115" s="25">
        <f>_xlfn.IFNA(VLOOKUP(A115,'[1]ETF List'!$A$2:$I$180,6,FALSE),"n/a")</f>
        <v>0.56999999999999995</v>
      </c>
      <c r="G115" s="26">
        <f>_xlfn.IFNA(VLOOKUP(A115,'[1]ETF List'!$A$2:$J$180,8,FALSE)/1000000,"n/a")</f>
        <v>71.787738000000004</v>
      </c>
      <c r="H115" s="25">
        <f>_xlfn.IFNA(VLOOKUP(A115,'[1]ETF List'!$A$2:$N$180,14,FALSE)/1000000,"n/a")</f>
        <v>-2.2888844000000059</v>
      </c>
      <c r="I115" s="26">
        <f>_xlfn.IFNA(VLOOKUP(A115,'[1]ETF List'!$A:$R,18,FALSE)/1000000,"n/a")</f>
        <v>0</v>
      </c>
      <c r="J115" s="27">
        <f>_xlfn.IFNA(VLOOKUP(A115,[1]IRESS!$A$10:$F$875,5,FALSE),"n/a")</f>
        <v>10974190.490000002</v>
      </c>
      <c r="K115" s="28">
        <f>_xlfn.IFNA(VLOOKUP(A115,[1]IRESS!$A$11:$G$684,7,FALSE),"n/a")</f>
        <v>1560293</v>
      </c>
      <c r="L115" s="27">
        <f>_xlfn.IFNA(VLOOKUP(A115,[1]IRESS!$A$10:$F$875,4,FALSE),"n/a")</f>
        <v>420</v>
      </c>
      <c r="M115" s="29">
        <f t="shared" si="1"/>
        <v>0.15286998581846947</v>
      </c>
      <c r="N115" s="30">
        <f>_xlfn.IFNA(VLOOKUP(A115,[1]Spreads!$A$1:$G$279,2,FALSE),"n/a")</f>
        <v>2.7767971873470599E-3</v>
      </c>
      <c r="O115" s="28">
        <f>IFERROR(VLOOKUP(A115,[1]Spreads!$A$1:$G$279,5,FALSE)/1000,"n/a")</f>
        <v>585.82260762984095</v>
      </c>
      <c r="P115" s="31">
        <f>IFERROR(VLOOKUP(A115,[1]Spreads!$A$1:$G$279,6,FALSE)/1000,"n/a")</f>
        <v>1022.1400181855</v>
      </c>
      <c r="Q115" s="9"/>
      <c r="R115" s="32">
        <f>_xlfn.IFNA(VLOOKUP($A115,[1]IRESS!$A$11:$AE$696,6,FALSE)/100,"n/a")</f>
        <v>6.9</v>
      </c>
      <c r="S115" s="33">
        <f>_xlfn.IFNA(VLOOKUP($A115,[1]IRESS!$A$11:$AE$696,21,FALSE)/100,"n/a")</f>
        <v>8.1199999999999992</v>
      </c>
      <c r="T115" s="32">
        <f>_xlfn.IFNA(VLOOKUP($A115,[1]IRESS!$A$11:$AE$696,22,FALSE)/100,"n/a")</f>
        <v>6.65</v>
      </c>
      <c r="V115" s="34">
        <f>IFERROR((VLOOKUP($A115,[1]IRESS!$A$11:$AE$696,20,FALSE)/100)/R115,"n/a")</f>
        <v>3.8500289855072464E-2</v>
      </c>
      <c r="W115" s="35">
        <f>IFERROR(VLOOKUP($A115,[1]Morningstar!$A$2:$F$477,3,FALSE),"n/a")</f>
        <v>-5.6099999999999997E-2</v>
      </c>
      <c r="X115" s="34">
        <f>IFERROR(VLOOKUP($A115,[1]Morningstar!$A$2:$F$477,4,FALSE),"n/a")</f>
        <v>1.2699999999999999E-2</v>
      </c>
      <c r="Y115" s="35" t="str">
        <f>IFERROR(VLOOKUP($A115,[1]Morningstar!$A$2:$F$477,5,FALSE),"n/a")</f>
        <v>n/a</v>
      </c>
      <c r="Z115" s="34" t="str">
        <f>IFERROR(VLOOKUP($A115,[1]Morningstar!$A$2:$F$477,6,FALSE),"n/a")</f>
        <v>n/a</v>
      </c>
    </row>
    <row r="116" spans="1:26">
      <c r="A116" s="21" t="s">
        <v>132</v>
      </c>
      <c r="B116" s="22" t="s">
        <v>28</v>
      </c>
      <c r="C116" s="46" t="str">
        <f>VLOOKUP(A116,'[1]ETF List'!$A$3:$B$185,2,FALSE)</f>
        <v>BetaShares Global Healthcare ETF - Currency Hedged</v>
      </c>
      <c r="D116" s="24"/>
      <c r="E116" s="7"/>
      <c r="F116" s="25">
        <f>_xlfn.IFNA(VLOOKUP(A116,'[1]ETF List'!$A$2:$I$180,6,FALSE),"n/a")</f>
        <v>0.57000000000000006</v>
      </c>
      <c r="G116" s="26">
        <f>_xlfn.IFNA(VLOOKUP(A116,'[1]ETF List'!$A$2:$J$180,8,FALSE)/1000000,"n/a")</f>
        <v>24.554511000000002</v>
      </c>
      <c r="H116" s="25">
        <f>_xlfn.IFNA(VLOOKUP(A116,'[1]ETF List'!$A$2:$N$180,14,FALSE)/1000000,"n/a")</f>
        <v>2.3120090000000002</v>
      </c>
      <c r="I116" s="26">
        <f>_xlfn.IFNA(VLOOKUP(A116,'[1]ETF List'!$A:$R,18,FALSE)/1000000,"n/a")</f>
        <v>2.2319999999999971</v>
      </c>
      <c r="J116" s="27">
        <f>_xlfn.IFNA(VLOOKUP(A116,[1]IRESS!$A$10:$F$875,5,FALSE),"n/a")</f>
        <v>2565929.1200000006</v>
      </c>
      <c r="K116" s="28">
        <f>_xlfn.IFNA(VLOOKUP(A116,[1]IRESS!$A$11:$G$684,7,FALSE),"n/a")</f>
        <v>457925</v>
      </c>
      <c r="L116" s="27">
        <f>_xlfn.IFNA(VLOOKUP(A116,[1]IRESS!$A$10:$F$875,4,FALSE),"n/a")</f>
        <v>116</v>
      </c>
      <c r="M116" s="29">
        <f t="shared" si="1"/>
        <v>0.10449929628001961</v>
      </c>
      <c r="N116" s="30">
        <f>_xlfn.IFNA(VLOOKUP(A116,[1]Spreads!$A$1:$G$279,2,FALSE),"n/a")</f>
        <v>3.2628409532260501E-3</v>
      </c>
      <c r="O116" s="28">
        <f>IFERROR(VLOOKUP(A116,[1]Spreads!$A$1:$G$279,5,FALSE)/1000,"n/a")</f>
        <v>527.33043012140593</v>
      </c>
      <c r="P116" s="31">
        <f>IFERROR(VLOOKUP(A116,[1]Spreads!$A$1:$G$279,6,FALSE)/1000,"n/a")</f>
        <v>501.95390955875502</v>
      </c>
      <c r="Q116" s="9"/>
      <c r="R116" s="32">
        <f>_xlfn.IFNA(VLOOKUP($A116,[1]IRESS!$A$11:$AE$696,6,FALSE)/100,"n/a")</f>
        <v>5.6</v>
      </c>
      <c r="S116" s="33">
        <f>_xlfn.IFNA(VLOOKUP($A116,[1]IRESS!$A$11:$AE$696,21,FALSE)/100,"n/a")</f>
        <v>5.96</v>
      </c>
      <c r="T116" s="32">
        <f>_xlfn.IFNA(VLOOKUP($A116,[1]IRESS!$A$11:$AE$696,22,FALSE)/100,"n/a")</f>
        <v>5.13</v>
      </c>
      <c r="V116" s="34">
        <f>IFERROR((VLOOKUP($A116,[1]IRESS!$A$11:$AE$696,20,FALSE)/100)/R116,"n/a")</f>
        <v>3.5876607142857148E-2</v>
      </c>
      <c r="W116" s="35">
        <f>IFERROR(VLOOKUP($A116,[1]Morningstar!$A$2:$F$477,3,FALSE),"n/a")</f>
        <v>2E-3</v>
      </c>
      <c r="X116" s="34">
        <f>IFERROR(VLOOKUP($A116,[1]Morningstar!$A$2:$F$477,4,FALSE),"n/a")</f>
        <v>4.3999999999999997E-2</v>
      </c>
      <c r="Y116" s="35" t="str">
        <f>IFERROR(VLOOKUP($A116,[1]Morningstar!$A$2:$F$477,5,FALSE),"n/a")</f>
        <v>n/a</v>
      </c>
      <c r="Z116" s="34" t="str">
        <f>IFERROR(VLOOKUP($A116,[1]Morningstar!$A$2:$F$477,6,FALSE),"n/a")</f>
        <v>n/a</v>
      </c>
    </row>
    <row r="117" spans="1:26">
      <c r="A117" s="21" t="s">
        <v>133</v>
      </c>
      <c r="B117" s="22" t="s">
        <v>28</v>
      </c>
      <c r="C117" s="46" t="str">
        <f>VLOOKUP(A117,'[1]ETF List'!$A$3:$B$185,2,FALSE)</f>
        <v>BetaShares Global Agriculture Companies ETF</v>
      </c>
      <c r="D117" s="24"/>
      <c r="E117" s="7"/>
      <c r="F117" s="25">
        <f>_xlfn.IFNA(VLOOKUP(A117,'[1]ETF List'!$A$2:$I$180,6,FALSE),"n/a")</f>
        <v>0.56999999999999995</v>
      </c>
      <c r="G117" s="26">
        <f>_xlfn.IFNA(VLOOKUP(A117,'[1]ETF List'!$A$2:$J$180,8,FALSE)/1000000,"n/a")</f>
        <v>17.38468344</v>
      </c>
      <c r="H117" s="25">
        <f>_xlfn.IFNA(VLOOKUP(A117,'[1]ETF List'!$A$2:$N$180,14,FALSE)/1000000,"n/a")</f>
        <v>-0.42035503999999912</v>
      </c>
      <c r="I117" s="26">
        <f>_xlfn.IFNA(VLOOKUP(A117,'[1]ETF List'!$A:$R,18,FALSE)/1000000,"n/a")</f>
        <v>0</v>
      </c>
      <c r="J117" s="27">
        <f>_xlfn.IFNA(VLOOKUP(A117,[1]IRESS!$A$10:$F$875,5,FALSE),"n/a")</f>
        <v>1346800.2700000003</v>
      </c>
      <c r="K117" s="28">
        <f>_xlfn.IFNA(VLOOKUP(A117,[1]IRESS!$A$11:$G$684,7,FALSE),"n/a")</f>
        <v>229624</v>
      </c>
      <c r="L117" s="27">
        <f>_xlfn.IFNA(VLOOKUP(A117,[1]IRESS!$A$10:$F$875,4,FALSE),"n/a")</f>
        <v>85</v>
      </c>
      <c r="M117" s="29">
        <f t="shared" si="1"/>
        <v>7.7470508718104111E-2</v>
      </c>
      <c r="N117" s="30">
        <f>_xlfn.IFNA(VLOOKUP(A117,[1]Spreads!$A$1:$G$279,2,FALSE),"n/a")</f>
        <v>3.9568594714926193E-3</v>
      </c>
      <c r="O117" s="28">
        <f>IFERROR(VLOOKUP(A117,[1]Spreads!$A$1:$G$279,5,FALSE)/1000,"n/a")</f>
        <v>421.32334406886099</v>
      </c>
      <c r="P117" s="31">
        <f>IFERROR(VLOOKUP(A117,[1]Spreads!$A$1:$G$279,6,FALSE)/1000,"n/a")</f>
        <v>739.40394051762303</v>
      </c>
      <c r="Q117" s="9"/>
      <c r="R117" s="32">
        <f>_xlfn.IFNA(VLOOKUP($A117,[1]IRESS!$A$11:$AE$696,6,FALSE)/100,"n/a")</f>
        <v>5.79</v>
      </c>
      <c r="S117" s="33">
        <f>_xlfn.IFNA(VLOOKUP($A117,[1]IRESS!$A$11:$AE$696,21,FALSE)/100,"n/a")</f>
        <v>6.39</v>
      </c>
      <c r="T117" s="32">
        <f>_xlfn.IFNA(VLOOKUP($A117,[1]IRESS!$A$11:$AE$696,22,FALSE)/100,"n/a")</f>
        <v>5.54</v>
      </c>
      <c r="V117" s="34">
        <f>IFERROR((VLOOKUP($A117,[1]IRESS!$A$11:$AE$696,20,FALSE)/100)/R117,"n/a")</f>
        <v>3.3408808290155446E-2</v>
      </c>
      <c r="W117" s="35">
        <f>IFERROR(VLOOKUP($A117,[1]Morningstar!$A$2:$F$477,3,FALSE),"n/a")</f>
        <v>-2.8299999999999999E-2</v>
      </c>
      <c r="X117" s="34">
        <f>IFERROR(VLOOKUP($A117,[1]Morningstar!$A$2:$F$477,4,FALSE),"n/a")</f>
        <v>5.7099999999999998E-2</v>
      </c>
      <c r="Y117" s="35" t="str">
        <f>IFERROR(VLOOKUP($A117,[1]Morningstar!$A$2:$F$477,5,FALSE),"n/a")</f>
        <v>n/a</v>
      </c>
      <c r="Z117" s="34" t="str">
        <f>IFERROR(VLOOKUP($A117,[1]Morningstar!$A$2:$F$477,6,FALSE),"n/a")</f>
        <v>n/a</v>
      </c>
    </row>
    <row r="118" spans="1:26">
      <c r="A118" s="21" t="s">
        <v>134</v>
      </c>
      <c r="B118" s="22" t="s">
        <v>28</v>
      </c>
      <c r="C118" s="46" t="str">
        <f>VLOOKUP(A118,'[1]ETF List'!$A$3:$B$185,2,FALSE)</f>
        <v>BetaShares Global Energy Companies ETF - Currency Hedged</v>
      </c>
      <c r="D118" s="24"/>
      <c r="E118" s="7"/>
      <c r="F118" s="25">
        <f>_xlfn.IFNA(VLOOKUP(A118,'[1]ETF List'!$A$2:$I$180,6,FALSE),"n/a")</f>
        <v>0.56999999999999995</v>
      </c>
      <c r="G118" s="26">
        <f>_xlfn.IFNA(VLOOKUP(A118,'[1]ETF List'!$A$2:$J$180,8,FALSE)/1000000,"n/a")</f>
        <v>28.869582559999998</v>
      </c>
      <c r="H118" s="25">
        <f>_xlfn.IFNA(VLOOKUP(A118,'[1]ETF List'!$A$2:$N$180,14,FALSE)/1000000,"n/a")</f>
        <v>0.26405105999999867</v>
      </c>
      <c r="I118" s="26">
        <f>_xlfn.IFNA(VLOOKUP(A118,'[1]ETF List'!$A:$R,18,FALSE)/1000000,"n/a")</f>
        <v>0</v>
      </c>
      <c r="J118" s="27">
        <f>_xlfn.IFNA(VLOOKUP(A118,[1]IRESS!$A$10:$F$875,5,FALSE),"n/a")</f>
        <v>3594123.2399999998</v>
      </c>
      <c r="K118" s="28">
        <f>_xlfn.IFNA(VLOOKUP(A118,[1]IRESS!$A$11:$G$684,7,FALSE),"n/a")</f>
        <v>554141</v>
      </c>
      <c r="L118" s="27">
        <f>_xlfn.IFNA(VLOOKUP(A118,[1]IRESS!$A$10:$F$875,4,FALSE),"n/a")</f>
        <v>253</v>
      </c>
      <c r="M118" s="29">
        <f t="shared" si="1"/>
        <v>0.12449515792375211</v>
      </c>
      <c r="N118" s="30">
        <f>_xlfn.IFNA(VLOOKUP(A118,[1]Spreads!$A$1:$G$279,2,FALSE),"n/a")</f>
        <v>3.5257952058130797E-3</v>
      </c>
      <c r="O118" s="28">
        <f>IFERROR(VLOOKUP(A118,[1]Spreads!$A$1:$G$279,5,FALSE)/1000,"n/a")</f>
        <v>368.34706729374</v>
      </c>
      <c r="P118" s="31">
        <f>IFERROR(VLOOKUP(A118,[1]Spreads!$A$1:$G$279,6,FALSE)/1000,"n/a")</f>
        <v>428.61138292780799</v>
      </c>
      <c r="Q118" s="9"/>
      <c r="R118" s="32">
        <f>_xlfn.IFNA(VLOOKUP($A118,[1]IRESS!$A$11:$AE$696,6,FALSE)/100,"n/a")</f>
        <v>6.6</v>
      </c>
      <c r="S118" s="33">
        <f>_xlfn.IFNA(VLOOKUP($A118,[1]IRESS!$A$11:$AE$696,21,FALSE)/100,"n/a")</f>
        <v>6.86</v>
      </c>
      <c r="T118" s="32">
        <f>_xlfn.IFNA(VLOOKUP($A118,[1]IRESS!$A$11:$AE$696,22,FALSE)/100,"n/a")</f>
        <v>5.16</v>
      </c>
      <c r="V118" s="34">
        <f>IFERROR((VLOOKUP($A118,[1]IRESS!$A$11:$AE$696,20,FALSE)/100)/R118,"n/a")</f>
        <v>2.176318181818182E-2</v>
      </c>
      <c r="W118" s="35">
        <f>IFERROR(VLOOKUP($A118,[1]Morningstar!$A$2:$F$477,3,FALSE),"n/a")</f>
        <v>2.64E-2</v>
      </c>
      <c r="X118" s="34">
        <f>IFERROR(VLOOKUP($A118,[1]Morningstar!$A$2:$F$477,4,FALSE),"n/a")</f>
        <v>0.25779999999999997</v>
      </c>
      <c r="Y118" s="35" t="str">
        <f>IFERROR(VLOOKUP($A118,[1]Morningstar!$A$2:$F$477,5,FALSE),"n/a")</f>
        <v>n/a</v>
      </c>
      <c r="Z118" s="34" t="str">
        <f>IFERROR(VLOOKUP($A118,[1]Morningstar!$A$2:$F$477,6,FALSE),"n/a")</f>
        <v>n/a</v>
      </c>
    </row>
    <row r="119" spans="1:26">
      <c r="A119" s="21" t="s">
        <v>135</v>
      </c>
      <c r="B119" s="22" t="s">
        <v>28</v>
      </c>
      <c r="C119" s="46" t="str">
        <f>VLOOKUP(A119,'[1]ETF List'!$A$3:$B$185,2,FALSE)</f>
        <v>VanEck Vectors Gold Miners ETF</v>
      </c>
      <c r="D119" s="24"/>
      <c r="E119" s="7"/>
      <c r="F119" s="25">
        <f>_xlfn.IFNA(VLOOKUP(A119,'[1]ETF List'!$A$2:$I$180,6,FALSE),"n/a")</f>
        <v>0.53</v>
      </c>
      <c r="G119" s="26">
        <f>_xlfn.IFNA(VLOOKUP(A119,'[1]ETF List'!$A$2:$J$180,8,FALSE)/1000000,"n/a")</f>
        <v>68.89127762999999</v>
      </c>
      <c r="H119" s="25">
        <f>_xlfn.IFNA(VLOOKUP(A119,'[1]ETF List'!$A$2:$N$180,14,FALSE)/1000000,"n/a")</f>
        <v>-0.98578924000000956</v>
      </c>
      <c r="I119" s="26">
        <f>_xlfn.IFNA(VLOOKUP(A119,'[1]ETF List'!$A:$R,18,FALSE)/1000000,"n/a")</f>
        <v>-0.89190000000000003</v>
      </c>
      <c r="J119" s="27">
        <f>_xlfn.IFNA(VLOOKUP(A119,[1]IRESS!$A$10:$F$875,5,FALSE),"n/a")</f>
        <v>3306681.04</v>
      </c>
      <c r="K119" s="28">
        <f>_xlfn.IFNA(VLOOKUP(A119,[1]IRESS!$A$11:$G$684,7,FALSE),"n/a")</f>
        <v>111375</v>
      </c>
      <c r="L119" s="27">
        <f>_xlfn.IFNA(VLOOKUP(A119,[1]IRESS!$A$10:$F$875,4,FALSE),"n/a")</f>
        <v>249</v>
      </c>
      <c r="M119" s="29">
        <f t="shared" si="1"/>
        <v>4.7998544282477407E-2</v>
      </c>
      <c r="N119" s="30">
        <f>_xlfn.IFNA(VLOOKUP(A119,[1]Spreads!$A$1:$G$279,2,FALSE),"n/a")</f>
        <v>3.2822923497185202E-3</v>
      </c>
      <c r="O119" s="28">
        <f>IFERROR(VLOOKUP(A119,[1]Spreads!$A$1:$G$279,5,FALSE)/1000,"n/a")</f>
        <v>231.66309822843701</v>
      </c>
      <c r="P119" s="31">
        <f>IFERROR(VLOOKUP(A119,[1]Spreads!$A$1:$G$279,6,FALSE)/1000,"n/a")</f>
        <v>219.29288859226301</v>
      </c>
      <c r="Q119" s="9"/>
      <c r="R119" s="32">
        <f>_xlfn.IFNA(VLOOKUP($A119,[1]IRESS!$A$11:$AE$696,6,FALSE)/100,"n/a")</f>
        <v>29.73</v>
      </c>
      <c r="S119" s="33">
        <f>_xlfn.IFNA(VLOOKUP($A119,[1]IRESS!$A$11:$AE$696,21,FALSE)/100,"n/a")</f>
        <v>31.88</v>
      </c>
      <c r="T119" s="32">
        <f>_xlfn.IFNA(VLOOKUP($A119,[1]IRESS!$A$11:$AE$696,22,FALSE)/100,"n/a")</f>
        <v>27.38</v>
      </c>
      <c r="V119" s="34">
        <f>IFERROR((VLOOKUP($A119,[1]IRESS!$A$11:$AE$696,20,FALSE)/100)/R119,"n/a")</f>
        <v>6.4027917928018837E-3</v>
      </c>
      <c r="W119" s="35">
        <f>IFERROR(VLOOKUP($A119,[1]Morningstar!$A$2:$F$477,3,FALSE),"n/a")</f>
        <v>1.18E-2</v>
      </c>
      <c r="X119" s="34">
        <f>IFERROR(VLOOKUP($A119,[1]Morningstar!$A$2:$F$477,4,FALSE),"n/a")</f>
        <v>4.3900000000000002E-2</v>
      </c>
      <c r="Y119" s="35">
        <f>IFERROR(VLOOKUP($A119,[1]Morningstar!$A$2:$F$477,5,FALSE),"n/a")</f>
        <v>9.11E-2</v>
      </c>
      <c r="Z119" s="34" t="str">
        <f>IFERROR(VLOOKUP($A119,[1]Morningstar!$A$2:$F$477,6,FALSE),"n/a")</f>
        <v>n/a</v>
      </c>
    </row>
    <row r="120" spans="1:26">
      <c r="A120" s="21" t="s">
        <v>136</v>
      </c>
      <c r="B120" s="22" t="s">
        <v>28</v>
      </c>
      <c r="C120" s="46" t="str">
        <f>VLOOKUP(A120,'[1]ETF List'!$A$3:$B$185,2,FALSE)</f>
        <v>BetaShares Global Cybersecurity ETF</v>
      </c>
      <c r="D120" s="24"/>
      <c r="E120" s="7"/>
      <c r="F120" s="25">
        <f>_xlfn.IFNA(VLOOKUP(A120,'[1]ETF List'!$A$2:$I$180,6,FALSE),"n/a")</f>
        <v>0.67</v>
      </c>
      <c r="G120" s="26">
        <f>_xlfn.IFNA(VLOOKUP(A120,'[1]ETF List'!$A$2:$J$180,8,FALSE)/1000000,"n/a")</f>
        <v>87.348824640000004</v>
      </c>
      <c r="H120" s="25">
        <f>_xlfn.IFNA(VLOOKUP(A120,'[1]ETF List'!$A$2:$N$180,14,FALSE)/1000000,"n/a")</f>
        <v>9.4564447999999963</v>
      </c>
      <c r="I120" s="26">
        <f>_xlfn.IFNA(VLOOKUP(A120,'[1]ETF List'!$A:$R,18,FALSE)/1000000,"n/a")</f>
        <v>8.3160000000000007</v>
      </c>
      <c r="J120" s="27">
        <f>_xlfn.IFNA(VLOOKUP(A120,[1]IRESS!$A$10:$F$875,5,FALSE),"n/a")</f>
        <v>14122732.949999999</v>
      </c>
      <c r="K120" s="28">
        <f>_xlfn.IFNA(VLOOKUP(A120,[1]IRESS!$A$11:$G$684,7,FALSE),"n/a")</f>
        <v>2017594</v>
      </c>
      <c r="L120" s="27">
        <f>_xlfn.IFNA(VLOOKUP(A120,[1]IRESS!$A$10:$F$875,4,FALSE),"n/a")</f>
        <v>1071</v>
      </c>
      <c r="M120" s="29">
        <f t="shared" si="1"/>
        <v>0.16168200325769144</v>
      </c>
      <c r="N120" s="30">
        <f>_xlfn.IFNA(VLOOKUP(A120,[1]Spreads!$A$1:$G$279,2,FALSE),"n/a")</f>
        <v>2.30496367752544E-3</v>
      </c>
      <c r="O120" s="28">
        <f>IFERROR(VLOOKUP(A120,[1]Spreads!$A$1:$G$279,5,FALSE)/1000,"n/a")</f>
        <v>634.94267019294</v>
      </c>
      <c r="P120" s="31">
        <f>IFERROR(VLOOKUP(A120,[1]Spreads!$A$1:$G$279,6,FALSE)/1000,"n/a")</f>
        <v>553.85894709327704</v>
      </c>
      <c r="Q120" s="9"/>
      <c r="R120" s="32">
        <f>_xlfn.IFNA(VLOOKUP($A120,[1]IRESS!$A$11:$AE$696,6,FALSE)/100,"n/a")</f>
        <v>6.92</v>
      </c>
      <c r="S120" s="33">
        <f>_xlfn.IFNA(VLOOKUP($A120,[1]IRESS!$A$11:$AE$696,21,FALSE)/100,"n/a")</f>
        <v>7.3</v>
      </c>
      <c r="T120" s="32">
        <f>_xlfn.IFNA(VLOOKUP($A120,[1]IRESS!$A$11:$AE$696,22,FALSE)/100,"n/a")</f>
        <v>5.08</v>
      </c>
      <c r="V120" s="34">
        <f>IFERROR((VLOOKUP($A120,[1]IRESS!$A$11:$AE$696,20,FALSE)/100)/R120,"n/a")</f>
        <v>4.5766907514450873E-2</v>
      </c>
      <c r="W120" s="35">
        <f>IFERROR(VLOOKUP($A120,[1]Morningstar!$A$2:$F$477,3,FALSE),"n/a")</f>
        <v>1.89E-2</v>
      </c>
      <c r="X120" s="34">
        <f>IFERROR(VLOOKUP($A120,[1]Morningstar!$A$2:$F$477,4,FALSE),"n/a")</f>
        <v>0.26929999999999998</v>
      </c>
      <c r="Y120" s="35" t="str">
        <f>IFERROR(VLOOKUP($A120,[1]Morningstar!$A$2:$F$477,5,FALSE),"n/a")</f>
        <v>n/a</v>
      </c>
      <c r="Z120" s="34" t="str">
        <f>IFERROR(VLOOKUP($A120,[1]Morningstar!$A$2:$F$477,6,FALSE),"n/a")</f>
        <v>n/a</v>
      </c>
    </row>
    <row r="121" spans="1:26">
      <c r="A121" s="21" t="s">
        <v>137</v>
      </c>
      <c r="B121" s="22" t="s">
        <v>28</v>
      </c>
      <c r="C121" s="46" t="str">
        <f>VLOOKUP(A121,'[1]ETF List'!$A$3:$B$185,2,FALSE)</f>
        <v>iShares S&amp;P Global Consumer Staples ETF</v>
      </c>
      <c r="D121" s="24"/>
      <c r="E121" s="7"/>
      <c r="F121" s="25">
        <f>_xlfn.IFNA(VLOOKUP(A121,'[1]ETF List'!$A$2:$I$180,6,FALSE),"n/a")</f>
        <v>0.47</v>
      </c>
      <c r="G121" s="26">
        <f>_xlfn.IFNA(VLOOKUP(A121,'[1]ETF List'!$A$2:$J$180,8,FALSE)/1000000,"n/a")</f>
        <v>107.10368895000001</v>
      </c>
      <c r="H121" s="25">
        <f>_xlfn.IFNA(VLOOKUP(A121,'[1]ETF List'!$A$2:$N$180,14,FALSE)/1000000,"n/a")</f>
        <v>2.1094360700000077</v>
      </c>
      <c r="I121" s="26">
        <f>_xlfn.IFNA(VLOOKUP(A121,'[1]ETF List'!$A:$R,18,FALSE)/1000000,"n/a")</f>
        <v>-1.35996757</v>
      </c>
      <c r="J121" s="27">
        <f>_xlfn.IFNA(VLOOKUP(A121,[1]IRESS!$A$10:$F$875,5,FALSE),"n/a")</f>
        <v>3155021.2600000007</v>
      </c>
      <c r="K121" s="28">
        <f>_xlfn.IFNA(VLOOKUP(A121,[1]IRESS!$A$11:$G$684,7,FALSE),"n/a")</f>
        <v>48712</v>
      </c>
      <c r="L121" s="27">
        <f>_xlfn.IFNA(VLOOKUP(A121,[1]IRESS!$A$10:$F$875,4,FALSE),"n/a")</f>
        <v>307</v>
      </c>
      <c r="M121" s="29">
        <f t="shared" si="1"/>
        <v>2.9457633914671998E-2</v>
      </c>
      <c r="N121" s="30">
        <f>_xlfn.IFNA(VLOOKUP(A121,[1]Spreads!$A$1:$G$279,2,FALSE),"n/a")</f>
        <v>2.5515836636603099E-3</v>
      </c>
      <c r="O121" s="28">
        <f>IFERROR(VLOOKUP(A121,[1]Spreads!$A$1:$G$279,5,FALSE)/1000,"n/a")</f>
        <v>214.25635047067001</v>
      </c>
      <c r="P121" s="31">
        <f>IFERROR(VLOOKUP(A121,[1]Spreads!$A$1:$G$279,6,FALSE)/1000,"n/a")</f>
        <v>267.657292761652</v>
      </c>
      <c r="Q121" s="9"/>
      <c r="R121" s="32">
        <f>_xlfn.IFNA(VLOOKUP($A121,[1]IRESS!$A$11:$AE$696,6,FALSE)/100,"n/a")</f>
        <v>66.540000000000006</v>
      </c>
      <c r="S121" s="33">
        <f>_xlfn.IFNA(VLOOKUP($A121,[1]IRESS!$A$11:$AE$696,21,FALSE)/100,"n/a")</f>
        <v>70.63</v>
      </c>
      <c r="T121" s="32">
        <f>_xlfn.IFNA(VLOOKUP($A121,[1]IRESS!$A$11:$AE$696,22,FALSE)/100,"n/a")</f>
        <v>62.164999999999999</v>
      </c>
      <c r="V121" s="34">
        <f>IFERROR((VLOOKUP($A121,[1]IRESS!$A$11:$AE$696,20,FALSE)/100)/R121,"n/a")</f>
        <v>2.0407747219717463E-2</v>
      </c>
      <c r="W121" s="35">
        <f>IFERROR(VLOOKUP($A121,[1]Morningstar!$A$2:$F$477,3,FALSE),"n/a")</f>
        <v>4.5699999999999998E-2</v>
      </c>
      <c r="X121" s="34">
        <f>IFERROR(VLOOKUP($A121,[1]Morningstar!$A$2:$F$477,4,FALSE),"n/a")</f>
        <v>2.18E-2</v>
      </c>
      <c r="Y121" s="35">
        <f>IFERROR(VLOOKUP($A121,[1]Morningstar!$A$2:$F$477,5,FALSE),"n/a")</f>
        <v>6.2300000000000001E-2</v>
      </c>
      <c r="Z121" s="34">
        <f>IFERROR(VLOOKUP($A121,[1]Morningstar!$A$2:$F$477,6,FALSE),"n/a")</f>
        <v>0.1095</v>
      </c>
    </row>
    <row r="122" spans="1:26">
      <c r="A122" s="21" t="s">
        <v>138</v>
      </c>
      <c r="B122" s="22" t="s">
        <v>28</v>
      </c>
      <c r="C122" s="46" t="str">
        <f>VLOOKUP(A122,'[1]ETF List'!$A$3:$B$185,2,FALSE)</f>
        <v>iShares S&amp;P Global Healthcare ETF</v>
      </c>
      <c r="D122" s="24"/>
      <c r="E122" s="7"/>
      <c r="F122" s="25">
        <f>_xlfn.IFNA(VLOOKUP(A122,'[1]ETF List'!$A$2:$I$180,6,FALSE),"n/a")</f>
        <v>0.47</v>
      </c>
      <c r="G122" s="26">
        <f>_xlfn.IFNA(VLOOKUP(A122,'[1]ETF List'!$A$2:$J$180,8,FALSE)/1000000,"n/a")</f>
        <v>491.90079474999999</v>
      </c>
      <c r="H122" s="25">
        <f>_xlfn.IFNA(VLOOKUP(A122,'[1]ETF List'!$A$2:$N$180,14,FALSE)/1000000,"n/a")</f>
        <v>5.9752489499999282</v>
      </c>
      <c r="I122" s="26">
        <f>_xlfn.IFNA(VLOOKUP(A122,'[1]ETF List'!$A:$R,18,FALSE)/1000000,"n/a")</f>
        <v>-1.15831705</v>
      </c>
      <c r="J122" s="27">
        <f>_xlfn.IFNA(VLOOKUP(A122,[1]IRESS!$A$10:$F$875,5,FALSE),"n/a")</f>
        <v>12470633.414999999</v>
      </c>
      <c r="K122" s="28">
        <f>_xlfn.IFNA(VLOOKUP(A122,[1]IRESS!$A$11:$G$684,7,FALSE),"n/a")</f>
        <v>163838</v>
      </c>
      <c r="L122" s="27">
        <f>_xlfn.IFNA(VLOOKUP(A122,[1]IRESS!$A$10:$F$875,4,FALSE),"n/a")</f>
        <v>866</v>
      </c>
      <c r="M122" s="29">
        <f t="shared" si="1"/>
        <v>2.5351927762869302E-2</v>
      </c>
      <c r="N122" s="30">
        <f>_xlfn.IFNA(VLOOKUP(A122,[1]Spreads!$A$1:$G$279,2,FALSE),"n/a")</f>
        <v>1.9065329247213499E-3</v>
      </c>
      <c r="O122" s="28">
        <f>IFERROR(VLOOKUP(A122,[1]Spreads!$A$1:$G$279,5,FALSE)/1000,"n/a")</f>
        <v>207.44690929391598</v>
      </c>
      <c r="P122" s="31">
        <f>IFERROR(VLOOKUP(A122,[1]Spreads!$A$1:$G$279,6,FALSE)/1000,"n/a")</f>
        <v>227.50610008976699</v>
      </c>
      <c r="Q122" s="9"/>
      <c r="R122" s="32">
        <f>_xlfn.IFNA(VLOOKUP($A122,[1]IRESS!$A$11:$AE$696,6,FALSE)/100,"n/a")</f>
        <v>76.03</v>
      </c>
      <c r="S122" s="33">
        <f>_xlfn.IFNA(VLOOKUP($A122,[1]IRESS!$A$11:$AE$696,21,FALSE)/100,"n/a")</f>
        <v>78.09</v>
      </c>
      <c r="T122" s="32">
        <f>_xlfn.IFNA(VLOOKUP($A122,[1]IRESS!$A$11:$AE$696,22,FALSE)/100,"n/a")</f>
        <v>67.364999999999995</v>
      </c>
      <c r="V122" s="34">
        <f>IFERROR((VLOOKUP($A122,[1]IRESS!$A$11:$AE$696,20,FALSE)/100)/R122,"n/a")</f>
        <v>1.2373530185453112E-2</v>
      </c>
      <c r="W122" s="35">
        <f>IFERROR(VLOOKUP($A122,[1]Morningstar!$A$2:$F$477,3,FALSE),"n/a")</f>
        <v>2.1100000000000001E-2</v>
      </c>
      <c r="X122" s="34">
        <f>IFERROR(VLOOKUP($A122,[1]Morningstar!$A$2:$F$477,4,FALSE),"n/a")</f>
        <v>6.9900000000000004E-2</v>
      </c>
      <c r="Y122" s="35">
        <f>IFERROR(VLOOKUP($A122,[1]Morningstar!$A$2:$F$477,5,FALSE),"n/a")</f>
        <v>4.1399999999999999E-2</v>
      </c>
      <c r="Z122" s="34">
        <f>IFERROR(VLOOKUP($A122,[1]Morningstar!$A$2:$F$477,6,FALSE),"n/a")</f>
        <v>0.1489</v>
      </c>
    </row>
    <row r="123" spans="1:26" s="36" customFormat="1">
      <c r="A123" s="21" t="s">
        <v>139</v>
      </c>
      <c r="B123" s="22" t="s">
        <v>28</v>
      </c>
      <c r="C123" s="46" t="str">
        <f>VLOOKUP(A123,'[1]ETF List'!$A$3:$B$185,2,FALSE)</f>
        <v>BetaShares Global Gold Miners ETF - Currency Hedged</v>
      </c>
      <c r="D123" s="24"/>
      <c r="E123" s="7"/>
      <c r="F123" s="25">
        <f>_xlfn.IFNA(VLOOKUP(A123,'[1]ETF List'!$A$2:$I$180,6,FALSE),"n/a")</f>
        <v>0.57000000000000006</v>
      </c>
      <c r="G123" s="26">
        <f>_xlfn.IFNA(VLOOKUP(A123,'[1]ETF List'!$A$2:$J$180,8,FALSE)/1000000,"n/a")</f>
        <v>5.0827078499999994</v>
      </c>
      <c r="H123" s="25">
        <f>_xlfn.IFNA(VLOOKUP(A123,'[1]ETF List'!$A$2:$N$180,14,FALSE)/1000000,"n/a")</f>
        <v>-1.4001950000000186E-2</v>
      </c>
      <c r="I123" s="26">
        <f>_xlfn.IFNA(VLOOKUP(A123,'[1]ETF List'!$A:$R,18,FALSE)/1000000,"n/a")</f>
        <v>0</v>
      </c>
      <c r="J123" s="27">
        <f>_xlfn.IFNA(VLOOKUP(A123,[1]IRESS!$A$10:$F$875,5,FALSE),"n/a")</f>
        <v>995997.39999999991</v>
      </c>
      <c r="K123" s="28">
        <f>_xlfn.IFNA(VLOOKUP(A123,[1]IRESS!$A$11:$G$684,7,FALSE),"n/a")</f>
        <v>272523</v>
      </c>
      <c r="L123" s="27">
        <f>_xlfn.IFNA(VLOOKUP(A123,[1]IRESS!$A$10:$F$875,4,FALSE),"n/a")</f>
        <v>71</v>
      </c>
      <c r="M123" s="29">
        <f t="shared" si="1"/>
        <v>0.19595802658616313</v>
      </c>
      <c r="N123" s="30">
        <f>_xlfn.IFNA(VLOOKUP(A123,[1]Spreads!$A$1:$G$279,2,FALSE),"n/a")</f>
        <v>5.2614670678078302E-3</v>
      </c>
      <c r="O123" s="28">
        <f>IFERROR(VLOOKUP(A123,[1]Spreads!$A$1:$G$279,5,FALSE)/1000,"n/a")</f>
        <v>191.84753417571298</v>
      </c>
      <c r="P123" s="31">
        <f>IFERROR(VLOOKUP(A123,[1]Spreads!$A$1:$G$279,6,FALSE)/1000,"n/a")</f>
        <v>102.47776819587101</v>
      </c>
      <c r="Q123" s="9"/>
      <c r="R123" s="32">
        <f>_xlfn.IFNA(VLOOKUP($A123,[1]IRESS!$A$11:$AE$696,6,FALSE)/100,"n/a")</f>
        <v>3.63</v>
      </c>
      <c r="S123" s="33">
        <f>_xlfn.IFNA(VLOOKUP($A123,[1]IRESS!$A$11:$AE$696,21,FALSE)/100,"n/a")</f>
        <v>4.1500000000000004</v>
      </c>
      <c r="T123" s="32">
        <f>_xlfn.IFNA(VLOOKUP($A123,[1]IRESS!$A$11:$AE$696,22,FALSE)/100,"n/a")</f>
        <v>3.43</v>
      </c>
      <c r="U123" s="7"/>
      <c r="V123" s="34">
        <f>IFERROR((VLOOKUP($A123,[1]IRESS!$A$11:$AE$696,20,FALSE)/100)/R123,"n/a")</f>
        <v>0</v>
      </c>
      <c r="W123" s="35">
        <f>IFERROR(VLOOKUP($A123,[1]Morningstar!$A$2:$F$477,3,FALSE),"n/a")</f>
        <v>0</v>
      </c>
      <c r="X123" s="34">
        <f>IFERROR(VLOOKUP($A123,[1]Morningstar!$A$2:$F$477,4,FALSE),"n/a")</f>
        <v>-4.5499999999999999E-2</v>
      </c>
      <c r="Y123" s="35" t="str">
        <f>IFERROR(VLOOKUP($A123,[1]Morningstar!$A$2:$F$477,5,FALSE),"n/a")</f>
        <v>n/a</v>
      </c>
      <c r="Z123" s="34" t="str">
        <f>IFERROR(VLOOKUP($A123,[1]Morningstar!$A$2:$F$477,6,FALSE),"n/a")</f>
        <v>n/a</v>
      </c>
    </row>
    <row r="124" spans="1:26">
      <c r="A124" s="21" t="s">
        <v>140</v>
      </c>
      <c r="B124" s="22" t="s">
        <v>28</v>
      </c>
      <c r="C124" s="46" t="str">
        <f>VLOOKUP(A124,'[1]ETF List'!$A$3:$B$185,2,FALSE)</f>
        <v>ETFS ROBO Global Robotics and Automation ETF</v>
      </c>
      <c r="D124" s="24"/>
      <c r="E124" s="7"/>
      <c r="F124" s="25">
        <f>_xlfn.IFNA(VLOOKUP(A124,'[1]ETF List'!$A$2:$I$180,6,FALSE),"n/a")</f>
        <v>0.69</v>
      </c>
      <c r="G124" s="26">
        <f>_xlfn.IFNA(VLOOKUP(A124,'[1]ETF List'!$A$2:$J$180,8,FALSE)/1000000,"n/a")</f>
        <v>103.66</v>
      </c>
      <c r="H124" s="25">
        <f>_xlfn.IFNA(VLOOKUP(A124,'[1]ETF List'!$A$2:$N$180,14,FALSE)/1000000,"n/a")</f>
        <v>8.83</v>
      </c>
      <c r="I124" s="26">
        <f>_xlfn.IFNA(VLOOKUP(A124,'[1]ETF List'!$A:$R,18,FALSE)/1000000,"n/a")</f>
        <v>10.792</v>
      </c>
      <c r="J124" s="27">
        <f>_xlfn.IFNA(VLOOKUP(A124,[1]IRESS!$A$10:$F$875,5,FALSE),"n/a")</f>
        <v>18845891.300000034</v>
      </c>
      <c r="K124" s="28">
        <f>_xlfn.IFNA(VLOOKUP(A124,[1]IRESS!$A$11:$G$684,7,FALSE),"n/a")</f>
        <v>322686</v>
      </c>
      <c r="L124" s="27">
        <f>_xlfn.IFNA(VLOOKUP(A124,[1]IRESS!$A$10:$F$875,4,FALSE),"n/a")</f>
        <v>2577</v>
      </c>
      <c r="M124" s="29">
        <f t="shared" si="1"/>
        <v>0.18180485529616086</v>
      </c>
      <c r="N124" s="30">
        <f>_xlfn.IFNA(VLOOKUP(A124,[1]Spreads!$A$1:$G$279,2,FALSE),"n/a")</f>
        <v>2.2790548728426198E-3</v>
      </c>
      <c r="O124" s="28">
        <f>IFERROR(VLOOKUP(A124,[1]Spreads!$A$1:$G$279,5,FALSE)/1000,"n/a")</f>
        <v>362.13328605784301</v>
      </c>
      <c r="P124" s="31">
        <f>IFERROR(VLOOKUP(A124,[1]Spreads!$A$1:$G$279,6,FALSE)/1000,"n/a")</f>
        <v>550.10096303230807</v>
      </c>
      <c r="Q124" s="9"/>
      <c r="R124" s="32">
        <f>_xlfn.IFNA(VLOOKUP($A124,[1]IRESS!$A$11:$AE$696,6,FALSE)/100,"n/a")</f>
        <v>57.12</v>
      </c>
      <c r="S124" s="33">
        <f>_xlfn.IFNA(VLOOKUP($A124,[1]IRESS!$A$11:$AE$696,21,FALSE)/100,"n/a")</f>
        <v>64</v>
      </c>
      <c r="T124" s="32">
        <f>_xlfn.IFNA(VLOOKUP($A124,[1]IRESS!$A$11:$AE$696,22,FALSE)/100,"n/a")</f>
        <v>50.3</v>
      </c>
      <c r="V124" s="34">
        <f>IFERROR((VLOOKUP($A124,[1]IRESS!$A$11:$AE$696,20,FALSE)/100)/R124,"n/a")</f>
        <v>1.7595465686274511E-2</v>
      </c>
      <c r="W124" s="35">
        <f>IFERROR(VLOOKUP($A124,[1]Morningstar!$A$2:$F$477,3,FALSE),"n/a")</f>
        <v>-2.0400000000000001E-2</v>
      </c>
      <c r="X124" s="34" t="str">
        <f>IFERROR(VLOOKUP($A124,[1]Morningstar!$A$2:$F$477,4,FALSE),"n/a")</f>
        <v>n/a</v>
      </c>
      <c r="Y124" s="35" t="str">
        <f>IFERROR(VLOOKUP($A124,[1]Morningstar!$A$2:$F$477,5,FALSE),"n/a")</f>
        <v>n/a</v>
      </c>
      <c r="Z124" s="34" t="str">
        <f>IFERROR(VLOOKUP($A124,[1]Morningstar!$A$2:$F$477,6,FALSE),"n/a")</f>
        <v>n/a</v>
      </c>
    </row>
    <row r="125" spans="1:26">
      <c r="A125" s="21" t="s">
        <v>141</v>
      </c>
      <c r="B125" s="22" t="s">
        <v>28</v>
      </c>
      <c r="C125" s="46" t="str">
        <f>VLOOKUP(A125,'[1]ETF List'!$A$3:$B$185,2,FALSE)</f>
        <v>ETFS Morningstar Global Technology ETF</v>
      </c>
      <c r="D125" s="24"/>
      <c r="E125" s="7"/>
      <c r="F125" s="25">
        <f>_xlfn.IFNA(VLOOKUP(A125,'[1]ETF List'!$A$2:$I$180,6,FALSE),"n/a")</f>
        <v>0.45</v>
      </c>
      <c r="G125" s="26">
        <f>_xlfn.IFNA(VLOOKUP(A125,'[1]ETF List'!$A$2:$J$180,8,FALSE)/1000000,"n/a")</f>
        <v>57.673721299999997</v>
      </c>
      <c r="H125" s="25">
        <f>_xlfn.IFNA(VLOOKUP(A125,'[1]ETF List'!$A$2:$N$180,14,FALSE)/1000000,"n/a")</f>
        <v>4.65028182</v>
      </c>
      <c r="I125" s="26">
        <f>_xlfn.IFNA(VLOOKUP(A125,'[1]ETF List'!$A:$R,18,FALSE)/1000000,"n/a")</f>
        <v>5.4279999999999999</v>
      </c>
      <c r="J125" s="27">
        <f>_xlfn.IFNA(VLOOKUP(A125,[1]IRESS!$A$10:$F$875,5,FALSE),"n/a")</f>
        <v>9466460.0199999996</v>
      </c>
      <c r="K125" s="28">
        <f>_xlfn.IFNA(VLOOKUP(A125,[1]IRESS!$A$11:$G$684,7,FALSE),"n/a")</f>
        <v>133005</v>
      </c>
      <c r="L125" s="27">
        <f>_xlfn.IFNA(VLOOKUP(A125,[1]IRESS!$A$10:$F$875,4,FALSE),"n/a")</f>
        <v>485</v>
      </c>
      <c r="M125" s="29">
        <f t="shared" si="1"/>
        <v>0.16413818644991787</v>
      </c>
      <c r="N125" s="30">
        <f>_xlfn.IFNA(VLOOKUP(A125,[1]Spreads!$A$1:$G$279,2,FALSE),"n/a")</f>
        <v>1.87195518440088E-3</v>
      </c>
      <c r="O125" s="28">
        <f>IFERROR(VLOOKUP(A125,[1]Spreads!$A$1:$G$279,5,FALSE)/1000,"n/a")</f>
        <v>630.49670377883899</v>
      </c>
      <c r="P125" s="31">
        <f>IFERROR(VLOOKUP(A125,[1]Spreads!$A$1:$G$279,6,FALSE)/1000,"n/a")</f>
        <v>1609.7330719639901</v>
      </c>
      <c r="Q125" s="9"/>
      <c r="R125" s="32">
        <f>_xlfn.IFNA(VLOOKUP($A125,[1]IRESS!$A$11:$AE$696,6,FALSE)/100,"n/a")</f>
        <v>67.849999999999994</v>
      </c>
      <c r="S125" s="33">
        <f>_xlfn.IFNA(VLOOKUP($A125,[1]IRESS!$A$11:$AE$696,21,FALSE)/100,"n/a")</f>
        <v>73.94</v>
      </c>
      <c r="T125" s="32">
        <f>_xlfn.IFNA(VLOOKUP($A125,[1]IRESS!$A$11:$AE$696,22,FALSE)/100,"n/a")</f>
        <v>52.34</v>
      </c>
      <c r="V125" s="34">
        <f>IFERROR((VLOOKUP($A125,[1]IRESS!$A$11:$AE$696,20,FALSE)/100)/R125,"n/a")</f>
        <v>5.4581459100957998E-2</v>
      </c>
      <c r="W125" s="35">
        <f>IFERROR(VLOOKUP($A125,[1]Morningstar!$A$2:$F$477,3,FALSE),"n/a")</f>
        <v>1.7999999999999999E-2</v>
      </c>
      <c r="X125" s="34">
        <f>IFERROR(VLOOKUP($A125,[1]Morningstar!$A$2:$F$477,4,FALSE),"n/a")</f>
        <v>0.32579999999999998</v>
      </c>
      <c r="Y125" s="35" t="str">
        <f>IFERROR(VLOOKUP($A125,[1]Morningstar!$A$2:$F$477,5,FALSE),"n/a")</f>
        <v>n/a</v>
      </c>
      <c r="Z125" s="34" t="str">
        <f>IFERROR(VLOOKUP($A125,[1]Morningstar!$A$2:$F$477,6,FALSE),"n/a")</f>
        <v>n/a</v>
      </c>
    </row>
    <row r="126" spans="1:26">
      <c r="A126" s="37" t="s">
        <v>142</v>
      </c>
      <c r="B126" s="38"/>
      <c r="C126" s="38"/>
      <c r="D126" s="38"/>
      <c r="E126" s="7"/>
      <c r="F126" s="39"/>
      <c r="G126" s="39"/>
      <c r="H126" s="39"/>
      <c r="I126" s="39"/>
      <c r="J126" s="39"/>
      <c r="K126" s="39"/>
      <c r="L126" s="39"/>
      <c r="M126" s="40"/>
      <c r="N126" s="40"/>
      <c r="O126" s="39"/>
      <c r="P126" s="41"/>
      <c r="Q126" s="9"/>
      <c r="R126" s="42"/>
      <c r="S126" s="42"/>
      <c r="T126" s="42"/>
      <c r="V126" s="43"/>
      <c r="W126" s="44"/>
      <c r="X126" s="44"/>
      <c r="Y126" s="44"/>
      <c r="Z126" s="38"/>
    </row>
    <row r="127" spans="1:26">
      <c r="A127" s="21" t="s">
        <v>143</v>
      </c>
      <c r="B127" s="22" t="s">
        <v>43</v>
      </c>
      <c r="C127" s="46" t="str">
        <f>VLOOKUP(A127,'[1]ETF List'!$A$3:$B$185,2,FALSE)</f>
        <v>BetaShares US Equities Strong Bear Currency Hedged (Hedge Fund)</v>
      </c>
      <c r="D127" s="24"/>
      <c r="E127" s="7"/>
      <c r="F127" s="25">
        <f>_xlfn.IFNA(VLOOKUP(A127,'[1]ETF List'!$A$2:$I$180,6,FALSE),"n/a")</f>
        <v>1.38</v>
      </c>
      <c r="G127" s="26">
        <f>_xlfn.IFNA(VLOOKUP(A127,'[1]ETF List'!$A$2:$J$180,8,FALSE)/1000000,"n/a")</f>
        <v>59.228250000000003</v>
      </c>
      <c r="H127" s="25">
        <f>_xlfn.IFNA(VLOOKUP(A127,'[1]ETF List'!$A$2:$N$180,14,FALSE)/1000000,"n/a")</f>
        <v>3.0622500000000072</v>
      </c>
      <c r="I127" s="26">
        <f>_xlfn.IFNA(VLOOKUP(A127,'[1]ETF List'!$A:$R,18,FALSE)/1000000,"n/a")</f>
        <v>3.3952499999999999</v>
      </c>
      <c r="J127" s="27">
        <f>_xlfn.IFNA(VLOOKUP(A127,[1]IRESS!$A$10:$F$875,5,FALSE),"n/a")</f>
        <v>19144807.980000004</v>
      </c>
      <c r="K127" s="28">
        <f>_xlfn.IFNA(VLOOKUP(A127,[1]IRESS!$A$11:$G$684,7,FALSE),"n/a")</f>
        <v>3854084</v>
      </c>
      <c r="L127" s="27">
        <f>_xlfn.IFNA(VLOOKUP(A127,[1]IRESS!$A$10:$F$875,4,FALSE),"n/a")</f>
        <v>1002</v>
      </c>
      <c r="M127" s="29">
        <f t="shared" si="1"/>
        <v>0.32323777893150657</v>
      </c>
      <c r="N127" s="30">
        <f>_xlfn.IFNA(VLOOKUP(A127,[1]Spreads!$A$1:$G$279,2,FALSE),"n/a")</f>
        <v>2.62437874818181E-3</v>
      </c>
      <c r="O127" s="28">
        <f>IFERROR(VLOOKUP(A127,[1]Spreads!$A$1:$G$279,5,FALSE)/1000,"n/a")</f>
        <v>718.06293229032508</v>
      </c>
      <c r="P127" s="31">
        <f>IFERROR(VLOOKUP(A127,[1]Spreads!$A$1:$G$279,6,FALSE)/1000,"n/a")</f>
        <v>785.82070164428899</v>
      </c>
      <c r="Q127" s="9"/>
      <c r="R127" s="32">
        <f>_xlfn.IFNA(VLOOKUP($A127,[1]IRESS!$A$11:$AE$696,6,FALSE)/100,"n/a")</f>
        <v>5.03</v>
      </c>
      <c r="S127" s="33">
        <f>_xlfn.IFNA(VLOOKUP($A127,[1]IRESS!$A$11:$AE$696,21,FALSE)/100,"n/a")</f>
        <v>7.13</v>
      </c>
      <c r="T127" s="32">
        <f>_xlfn.IFNA(VLOOKUP($A127,[1]IRESS!$A$11:$AE$696,22,FALSE)/100,"n/a")</f>
        <v>4.5599999999999996</v>
      </c>
      <c r="V127" s="34">
        <f>IFERROR((VLOOKUP($A127,[1]IRESS!$A$11:$AE$696,20,FALSE)/100)/R127,"n/a")</f>
        <v>0</v>
      </c>
      <c r="W127" s="35">
        <f>IFERROR(VLOOKUP($A127,[1]Morningstar!$A$2:$F$477,3,FALSE),"n/a")</f>
        <v>-1.1599999999999999E-2</v>
      </c>
      <c r="X127" s="34">
        <f>IFERROR(VLOOKUP($A127,[1]Morningstar!$A$2:$F$477,4,FALSE),"n/a")</f>
        <v>-0.2858</v>
      </c>
      <c r="Y127" s="35" t="str">
        <f>IFERROR(VLOOKUP($A127,[1]Morningstar!$A$2:$F$477,5,FALSE),"n/a")</f>
        <v>n/a</v>
      </c>
      <c r="Z127" s="34" t="str">
        <f>IFERROR(VLOOKUP($A127,[1]Morningstar!$A$2:$F$477,6,FALSE),"n/a")</f>
        <v>n/a</v>
      </c>
    </row>
    <row r="128" spans="1:26">
      <c r="A128" s="21" t="s">
        <v>144</v>
      </c>
      <c r="B128" s="22" t="s">
        <v>28</v>
      </c>
      <c r="C128" s="46" t="str">
        <f>VLOOKUP(A128,'[1]ETF List'!$A$3:$B$185,2,FALSE)</f>
        <v>BetaShares Global Sustainability Leaders ETF</v>
      </c>
      <c r="D128" s="24"/>
      <c r="E128" s="7"/>
      <c r="F128" s="25">
        <f>_xlfn.IFNA(VLOOKUP(A128,'[1]ETF List'!$A$2:$I$180,6,FALSE),"n/a")</f>
        <v>0.59</v>
      </c>
      <c r="G128" s="26">
        <f>_xlfn.IFNA(VLOOKUP(A128,'[1]ETF List'!$A$2:$J$180,8,FALSE)/1000000,"n/a")</f>
        <v>210.02436015999999</v>
      </c>
      <c r="H128" s="25">
        <f>_xlfn.IFNA(VLOOKUP(A128,'[1]ETF List'!$A$2:$N$180,14,FALSE)/1000000,"n/a")</f>
        <v>22.248784199999989</v>
      </c>
      <c r="I128" s="26">
        <f>_xlfn.IFNA(VLOOKUP(A128,'[1]ETF List'!$A:$R,18,FALSE)/1000000,"n/a")</f>
        <v>18.527999999999999</v>
      </c>
      <c r="J128" s="27">
        <f>_xlfn.IFNA(VLOOKUP(A128,[1]IRESS!$A$10:$F$875,5,FALSE),"n/a")</f>
        <v>28061121.789999999</v>
      </c>
      <c r="K128" s="28">
        <f>_xlfn.IFNA(VLOOKUP(A128,[1]IRESS!$A$11:$G$684,7,FALSE),"n/a")</f>
        <v>3628739</v>
      </c>
      <c r="L128" s="27">
        <f>_xlfn.IFNA(VLOOKUP(A128,[1]IRESS!$A$10:$F$875,4,FALSE),"n/a")</f>
        <v>413</v>
      </c>
      <c r="M128" s="29">
        <f t="shared" si="1"/>
        <v>0.13360889074306703</v>
      </c>
      <c r="N128" s="30">
        <f>_xlfn.IFNA(VLOOKUP(A128,[1]Spreads!$A$1:$G$279,2,FALSE),"n/a")</f>
        <v>2.0171085748505197E-3</v>
      </c>
      <c r="O128" s="28">
        <f>IFERROR(VLOOKUP(A128,[1]Spreads!$A$1:$G$279,5,FALSE)/1000,"n/a")</f>
        <v>2616.12595956312</v>
      </c>
      <c r="P128" s="31">
        <f>IFERROR(VLOOKUP(A128,[1]Spreads!$A$1:$G$279,6,FALSE)/1000,"n/a")</f>
        <v>2951.98564743424</v>
      </c>
      <c r="Q128" s="9"/>
      <c r="R128" s="32">
        <f>_xlfn.IFNA(VLOOKUP($A128,[1]IRESS!$A$11:$AE$696,6,FALSE)/100,"n/a")</f>
        <v>7.73</v>
      </c>
      <c r="S128" s="33">
        <f>_xlfn.IFNA(VLOOKUP($A128,[1]IRESS!$A$11:$AE$696,21,FALSE)/100,"n/a")</f>
        <v>7.97</v>
      </c>
      <c r="T128" s="32">
        <f>_xlfn.IFNA(VLOOKUP($A128,[1]IRESS!$A$11:$AE$696,22,FALSE)/100,"n/a")</f>
        <v>6.28</v>
      </c>
      <c r="V128" s="34">
        <f>IFERROR((VLOOKUP($A128,[1]IRESS!$A$11:$AE$696,20,FALSE)/100)/R128,"n/a")</f>
        <v>1.7771280724450191E-2</v>
      </c>
      <c r="W128" s="35">
        <f>IFERROR(VLOOKUP($A128,[1]Morningstar!$A$2:$F$477,3,FALSE),"n/a")</f>
        <v>1.32E-2</v>
      </c>
      <c r="X128" s="34">
        <f>IFERROR(VLOOKUP($A128,[1]Morningstar!$A$2:$F$477,4,FALSE),"n/a")</f>
        <v>0.21790000000000001</v>
      </c>
      <c r="Y128" s="35" t="str">
        <f>IFERROR(VLOOKUP($A128,[1]Morningstar!$A$2:$F$477,5,FALSE),"n/a")</f>
        <v>n/a</v>
      </c>
      <c r="Z128" s="34" t="str">
        <f>IFERROR(VLOOKUP($A128,[1]Morningstar!$A$2:$F$477,6,FALSE),"n/a")</f>
        <v>n/a</v>
      </c>
    </row>
    <row r="129" spans="1:26">
      <c r="A129" s="21" t="s">
        <v>145</v>
      </c>
      <c r="B129" s="22" t="s">
        <v>43</v>
      </c>
      <c r="C129" s="46" t="str">
        <f>VLOOKUP(A129,'[1]ETF List'!$A$3:$B$185,2,FALSE)</f>
        <v>BetaShares Geared US Equity Fund Currency Hedged (Hedge Fund)</v>
      </c>
      <c r="D129" s="24"/>
      <c r="E129" s="7"/>
      <c r="F129" s="25">
        <f>_xlfn.IFNA(VLOOKUP(A129,'[1]ETF List'!$A$2:$I$180,6,FALSE),"n/a")</f>
        <v>0.8</v>
      </c>
      <c r="G129" s="26">
        <f>_xlfn.IFNA(VLOOKUP(A129,'[1]ETF List'!$A$2:$J$180,8,FALSE)/1000000,"n/a")</f>
        <v>17.655000000000001</v>
      </c>
      <c r="H129" s="25">
        <f>_xlfn.IFNA(VLOOKUP(A129,'[1]ETF List'!$A$2:$N$180,14,FALSE)/1000000,"n/a")</f>
        <v>-3.21</v>
      </c>
      <c r="I129" s="26">
        <f>_xlfn.IFNA(VLOOKUP(A129,'[1]ETF List'!$A:$R,18,FALSE)/1000000,"n/a")</f>
        <v>-3.21</v>
      </c>
      <c r="J129" s="27">
        <f>_xlfn.IFNA(VLOOKUP(A129,[1]IRESS!$A$10:$F$875,5,FALSE),"n/a")</f>
        <v>11122865.739999998</v>
      </c>
      <c r="K129" s="28">
        <f>_xlfn.IFNA(VLOOKUP(A129,[1]IRESS!$A$11:$G$684,7,FALSE),"n/a")</f>
        <v>673530</v>
      </c>
      <c r="L129" s="27">
        <f>_xlfn.IFNA(VLOOKUP(A129,[1]IRESS!$A$10:$F$875,4,FALSE),"n/a")</f>
        <v>401</v>
      </c>
      <c r="M129" s="29">
        <f t="shared" si="1"/>
        <v>0.63001221976777111</v>
      </c>
      <c r="N129" s="30">
        <f>_xlfn.IFNA(VLOOKUP(A129,[1]Spreads!$A$1:$G$279,2,FALSE),"n/a")</f>
        <v>1.3074276849882199E-3</v>
      </c>
      <c r="O129" s="28">
        <f>IFERROR(VLOOKUP(A129,[1]Spreads!$A$1:$G$279,5,FALSE)/1000,"n/a")</f>
        <v>373.05388003946399</v>
      </c>
      <c r="P129" s="31">
        <f>IFERROR(VLOOKUP(A129,[1]Spreads!$A$1:$G$279,6,FALSE)/1000,"n/a")</f>
        <v>561.10195665092999</v>
      </c>
      <c r="Q129" s="9"/>
      <c r="R129" s="32">
        <f>_xlfn.IFNA(VLOOKUP($A129,[1]IRESS!$A$11:$AE$696,6,FALSE)/100,"n/a")</f>
        <v>16.079999999999998</v>
      </c>
      <c r="S129" s="33">
        <f>_xlfn.IFNA(VLOOKUP($A129,[1]IRESS!$A$11:$AE$696,21,FALSE)/100,"n/a")</f>
        <v>18.38</v>
      </c>
      <c r="T129" s="32">
        <f>_xlfn.IFNA(VLOOKUP($A129,[1]IRESS!$A$11:$AE$696,22,FALSE)/100,"n/a")</f>
        <v>12.66</v>
      </c>
      <c r="V129" s="34">
        <f>IFERROR((VLOOKUP($A129,[1]IRESS!$A$11:$AE$696,20,FALSE)/100)/R129,"n/a")</f>
        <v>7.4702114427860709E-3</v>
      </c>
      <c r="W129" s="35">
        <f>IFERROR(VLOOKUP($A129,[1]Morningstar!$A$2:$F$477,3,FALSE),"n/a")</f>
        <v>4.3E-3</v>
      </c>
      <c r="X129" s="34">
        <f>IFERROR(VLOOKUP($A129,[1]Morningstar!$A$2:$F$477,4,FALSE),"n/a")</f>
        <v>0.25440000000000002</v>
      </c>
      <c r="Y129" s="35" t="str">
        <f>IFERROR(VLOOKUP($A129,[1]Morningstar!$A$2:$F$477,5,FALSE),"n/a")</f>
        <v>n/a</v>
      </c>
      <c r="Z129" s="34" t="str">
        <f>IFERROR(VLOOKUP($A129,[1]Morningstar!$A$2:$F$477,6,FALSE),"n/a")</f>
        <v>n/a</v>
      </c>
    </row>
    <row r="130" spans="1:26">
      <c r="A130" s="21" t="s">
        <v>146</v>
      </c>
      <c r="B130" s="22" t="s">
        <v>28</v>
      </c>
      <c r="C130" s="46" t="str">
        <f>VLOOKUP(A130,'[1]ETF List'!$A$3:$B$185,2,FALSE)</f>
        <v>SPDR MSCI World Quality Mix Fund</v>
      </c>
      <c r="D130" s="24"/>
      <c r="E130" s="7"/>
      <c r="F130" s="25">
        <f>_xlfn.IFNA(VLOOKUP(A130,'[1]ETF List'!$A$2:$I$180,6,FALSE),"n/a")</f>
        <v>0.4</v>
      </c>
      <c r="G130" s="26">
        <f>_xlfn.IFNA(VLOOKUP(A130,'[1]ETF List'!$A$2:$J$180,8,FALSE)/1000000,"n/a")</f>
        <v>8.439519240000001</v>
      </c>
      <c r="H130" s="25">
        <f>_xlfn.IFNA(VLOOKUP(A130,'[1]ETF List'!$A$2:$N$180,14,FALSE)/1000000,"n/a")</f>
        <v>4.0968540000000969E-2</v>
      </c>
      <c r="I130" s="26">
        <f>_xlfn.IFNA(VLOOKUP(A130,'[1]ETF List'!$A:$R,18,FALSE)/1000000,"n/a")</f>
        <v>1.0791700333356857E-15</v>
      </c>
      <c r="J130" s="27">
        <f>_xlfn.IFNA(VLOOKUP(A130,[1]IRESS!$A$10:$F$875,5,FALSE),"n/a")</f>
        <v>332633.01</v>
      </c>
      <c r="K130" s="28">
        <f>_xlfn.IFNA(VLOOKUP(A130,[1]IRESS!$A$11:$G$684,7,FALSE),"n/a")</f>
        <v>17836</v>
      </c>
      <c r="L130" s="27">
        <f>_xlfn.IFNA(VLOOKUP(A130,[1]IRESS!$A$10:$F$875,4,FALSE),"n/a")</f>
        <v>11</v>
      </c>
      <c r="M130" s="29">
        <f t="shared" si="1"/>
        <v>3.9413739164601988E-2</v>
      </c>
      <c r="N130" s="30">
        <f>_xlfn.IFNA(VLOOKUP(A130,[1]Spreads!$A$1:$G$279,2,FALSE),"n/a")</f>
        <v>2.51937893783904E-3</v>
      </c>
      <c r="O130" s="28">
        <f>IFERROR(VLOOKUP(A130,[1]Spreads!$A$1:$G$279,5,FALSE)/1000,"n/a")</f>
        <v>279.829801394551</v>
      </c>
      <c r="P130" s="31">
        <f>IFERROR(VLOOKUP(A130,[1]Spreads!$A$1:$G$279,6,FALSE)/1000,"n/a")</f>
        <v>287.57025148162001</v>
      </c>
      <c r="Q130" s="9"/>
      <c r="R130" s="32">
        <f>_xlfn.IFNA(VLOOKUP($A130,[1]IRESS!$A$11:$AE$696,6,FALSE)/100,"n/a")</f>
        <v>18.52</v>
      </c>
      <c r="S130" s="33">
        <f>_xlfn.IFNA(VLOOKUP($A130,[1]IRESS!$A$11:$AE$696,21,FALSE)/100,"n/a")</f>
        <v>19.11</v>
      </c>
      <c r="T130" s="32">
        <f>_xlfn.IFNA(VLOOKUP($A130,[1]IRESS!$A$11:$AE$696,22,FALSE)/100,"n/a")</f>
        <v>16.079999999999998</v>
      </c>
      <c r="V130" s="34">
        <f>IFERROR((VLOOKUP($A130,[1]IRESS!$A$11:$AE$696,20,FALSE)/100)/R130,"n/a")</f>
        <v>2.5185421166306697E-2</v>
      </c>
      <c r="W130" s="35">
        <f>IFERROR(VLOOKUP($A130,[1]Morningstar!$A$2:$F$477,3,FALSE),"n/a")</f>
        <v>1.7100000000000001E-2</v>
      </c>
      <c r="X130" s="34">
        <f>IFERROR(VLOOKUP($A130,[1]Morningstar!$A$2:$F$477,4,FALSE),"n/a")</f>
        <v>0.156</v>
      </c>
      <c r="Y130" s="35" t="str">
        <f>IFERROR(VLOOKUP($A130,[1]Morningstar!$A$2:$F$477,5,FALSE),"n/a")</f>
        <v>n/a</v>
      </c>
      <c r="Z130" s="34" t="str">
        <f>IFERROR(VLOOKUP($A130,[1]Morningstar!$A$2:$F$477,6,FALSE),"n/a")</f>
        <v>n/a</v>
      </c>
    </row>
    <row r="131" spans="1:26">
      <c r="A131" s="21" t="s">
        <v>147</v>
      </c>
      <c r="B131" s="22" t="s">
        <v>28</v>
      </c>
      <c r="C131" s="46" t="str">
        <f>VLOOKUP(A131,'[1]ETF List'!$A$3:$B$185,2,FALSE)</f>
        <v>VanEck Vectors MSCI World Ex-Australia Quality ETF</v>
      </c>
      <c r="D131" s="24"/>
      <c r="E131" s="7"/>
      <c r="F131" s="25">
        <f>_xlfn.IFNA(VLOOKUP(A131,'[1]ETF List'!$A$2:$I$180,6,FALSE),"n/a")</f>
        <v>0.4</v>
      </c>
      <c r="G131" s="26">
        <f>_xlfn.IFNA(VLOOKUP(A131,'[1]ETF List'!$A$2:$J$180,8,FALSE)/1000000,"n/a")</f>
        <v>381.41112803999999</v>
      </c>
      <c r="H131" s="25">
        <f>_xlfn.IFNA(VLOOKUP(A131,'[1]ETF List'!$A$2:$N$180,14,FALSE)/1000000,"n/a")</f>
        <v>12.962488800000012</v>
      </c>
      <c r="I131" s="26">
        <f>_xlfn.IFNA(VLOOKUP(A131,'[1]ETF List'!$A:$R,18,FALSE)/1000000,"n/a")</f>
        <v>6.6696</v>
      </c>
      <c r="J131" s="27">
        <f>_xlfn.IFNA(VLOOKUP(A131,[1]IRESS!$A$10:$F$875,5,FALSE),"n/a")</f>
        <v>20672395.629999999</v>
      </c>
      <c r="K131" s="28">
        <f>_xlfn.IFNA(VLOOKUP(A131,[1]IRESS!$A$11:$G$684,7,FALSE),"n/a")</f>
        <v>867239</v>
      </c>
      <c r="L131" s="27">
        <f>_xlfn.IFNA(VLOOKUP(A131,[1]IRESS!$A$10:$F$875,4,FALSE),"n/a")</f>
        <v>699</v>
      </c>
      <c r="M131" s="29">
        <f t="shared" si="1"/>
        <v>5.4199770563149396E-2</v>
      </c>
      <c r="N131" s="30">
        <f>_xlfn.IFNA(VLOOKUP(A131,[1]Spreads!$A$1:$G$279,2,FALSE),"n/a")</f>
        <v>2.0444879677795199E-3</v>
      </c>
      <c r="O131" s="28">
        <f>IFERROR(VLOOKUP(A131,[1]Spreads!$A$1:$G$279,5,FALSE)/1000,"n/a")</f>
        <v>1127.7822757716401</v>
      </c>
      <c r="P131" s="31">
        <f>IFERROR(VLOOKUP(A131,[1]Spreads!$A$1:$G$279,6,FALSE)/1000,"n/a")</f>
        <v>1730.7470677414899</v>
      </c>
      <c r="Q131" s="9"/>
      <c r="R131" s="32">
        <f>_xlfn.IFNA(VLOOKUP($A131,[1]IRESS!$A$11:$AE$696,6,FALSE)/100,"n/a")</f>
        <v>23.82</v>
      </c>
      <c r="S131" s="33">
        <f>_xlfn.IFNA(VLOOKUP($A131,[1]IRESS!$A$11:$AE$696,21,FALSE)/100,"n/a")</f>
        <v>24.5</v>
      </c>
      <c r="T131" s="32">
        <f>_xlfn.IFNA(VLOOKUP($A131,[1]IRESS!$A$11:$AE$696,22,FALSE)/100,"n/a")</f>
        <v>19.55</v>
      </c>
      <c r="V131" s="34">
        <f>IFERROR((VLOOKUP($A131,[1]IRESS!$A$11:$AE$696,20,FALSE)/100)/R131,"n/a")</f>
        <v>1.7632241813602016E-2</v>
      </c>
      <c r="W131" s="35">
        <f>IFERROR(VLOOKUP($A131,[1]Morningstar!$A$2:$F$477,3,FALSE),"n/a")</f>
        <v>1.5299999999999999E-2</v>
      </c>
      <c r="X131" s="34">
        <f>IFERROR(VLOOKUP($A131,[1]Morningstar!$A$2:$F$477,4,FALSE),"n/a")</f>
        <v>0.1794</v>
      </c>
      <c r="Y131" s="35">
        <f>IFERROR(VLOOKUP($A131,[1]Morningstar!$A$2:$F$477,5,FALSE),"n/a")</f>
        <v>0.1203</v>
      </c>
      <c r="Z131" s="34" t="str">
        <f>IFERROR(VLOOKUP($A131,[1]Morningstar!$A$2:$F$477,6,FALSE),"n/a")</f>
        <v>n/a</v>
      </c>
    </row>
    <row r="132" spans="1:26">
      <c r="A132" s="21" t="s">
        <v>148</v>
      </c>
      <c r="B132" s="22" t="s">
        <v>43</v>
      </c>
      <c r="C132" s="46" t="str">
        <f>VLOOKUP(A132,'[1]ETF List'!$A$3:$B$185,2,FALSE)</f>
        <v>BetaShares S&amp;P 500 Yield Maximiser Fund (Managed Fund)</v>
      </c>
      <c r="D132" s="24"/>
      <c r="E132" s="7"/>
      <c r="F132" s="25">
        <f>_xlfn.IFNA(VLOOKUP(A132,'[1]ETF List'!$A$2:$I$180,6,FALSE),"n/a")</f>
        <v>0.79</v>
      </c>
      <c r="G132" s="26">
        <f>_xlfn.IFNA(VLOOKUP(A132,'[1]ETF List'!$A$2:$J$180,8,FALSE)/1000000,"n/a")</f>
        <v>93.310409500000006</v>
      </c>
      <c r="H132" s="25">
        <f>_xlfn.IFNA(VLOOKUP(A132,'[1]ETF List'!$A$2:$N$180,14,FALSE)/1000000,"n/a")</f>
        <v>0.69706582000000772</v>
      </c>
      <c r="I132" s="26">
        <f>_xlfn.IFNA(VLOOKUP(A132,'[1]ETF List'!$A:$R,18,FALSE)/1000000,"n/a")</f>
        <v>-1.925</v>
      </c>
      <c r="J132" s="27">
        <f>_xlfn.IFNA(VLOOKUP(A132,[1]IRESS!$A$10:$F$875,5,FALSE),"n/a")</f>
        <v>3168963.8099999991</v>
      </c>
      <c r="K132" s="28">
        <f>_xlfn.IFNA(VLOOKUP(A132,[1]IRESS!$A$11:$G$684,7,FALSE),"n/a")</f>
        <v>166649</v>
      </c>
      <c r="L132" s="27">
        <f>_xlfn.IFNA(VLOOKUP(A132,[1]IRESS!$A$10:$F$875,4,FALSE),"n/a")</f>
        <v>216</v>
      </c>
      <c r="M132" s="29">
        <f t="shared" si="1"/>
        <v>3.3961525053643658E-2</v>
      </c>
      <c r="N132" s="30">
        <f>_xlfn.IFNA(VLOOKUP(A132,[1]Spreads!$A$1:$G$279,2,FALSE),"n/a")</f>
        <v>1.7349318122913298E-3</v>
      </c>
      <c r="O132" s="28">
        <f>IFERROR(VLOOKUP(A132,[1]Spreads!$A$1:$G$279,5,FALSE)/1000,"n/a")</f>
        <v>420.81773760556803</v>
      </c>
      <c r="P132" s="31">
        <f>IFERROR(VLOOKUP(A132,[1]Spreads!$A$1:$G$279,6,FALSE)/1000,"n/a")</f>
        <v>841.793734884066</v>
      </c>
      <c r="Q132" s="9"/>
      <c r="R132" s="32">
        <f>_xlfn.IFNA(VLOOKUP($A132,[1]IRESS!$A$11:$AE$696,6,FALSE)/100,"n/a")</f>
        <v>19.2</v>
      </c>
      <c r="S132" s="33">
        <f>_xlfn.IFNA(VLOOKUP($A132,[1]IRESS!$A$11:$AE$696,21,FALSE)/100,"n/a")</f>
        <v>19.600000000000001</v>
      </c>
      <c r="T132" s="32">
        <f>_xlfn.IFNA(VLOOKUP($A132,[1]IRESS!$A$11:$AE$696,22,FALSE)/100,"n/a")</f>
        <v>16.68</v>
      </c>
      <c r="V132" s="34">
        <f>IFERROR((VLOOKUP($A132,[1]IRESS!$A$11:$AE$696,20,FALSE)/100)/R132,"n/a")</f>
        <v>4.422229166666667E-2</v>
      </c>
      <c r="W132" s="35">
        <f>IFERROR(VLOOKUP($A132,[1]Morningstar!$A$2:$F$477,3,FALSE),"n/a")</f>
        <v>2.5499999999999998E-2</v>
      </c>
      <c r="X132" s="34">
        <f>IFERROR(VLOOKUP($A132,[1]Morningstar!$A$2:$F$477,4,FALSE),"n/a")</f>
        <v>0.13339999999999999</v>
      </c>
      <c r="Y132" s="35">
        <f>IFERROR(VLOOKUP($A132,[1]Morningstar!$A$2:$F$477,5,FALSE),"n/a")</f>
        <v>9.5200000000000007E-2</v>
      </c>
      <c r="Z132" s="34" t="str">
        <f>IFERROR(VLOOKUP($A132,[1]Morningstar!$A$2:$F$477,6,FALSE),"n/a")</f>
        <v>n/a</v>
      </c>
    </row>
    <row r="133" spans="1:26">
      <c r="A133" s="21" t="s">
        <v>149</v>
      </c>
      <c r="B133" s="22" t="s">
        <v>43</v>
      </c>
      <c r="C133" s="46" t="str">
        <f>VLOOKUP(A133,'[1]ETF List'!$A$3:$B$185,2,FALSE)</f>
        <v>Vanguard Global Minimum Volatility Active ETF (Managed Fund)</v>
      </c>
      <c r="D133" s="24"/>
      <c r="E133" s="7"/>
      <c r="F133" s="25">
        <f>_xlfn.IFNA(VLOOKUP(A133,'[1]ETF List'!$A$2:$I$180,6,FALSE),"n/a")</f>
        <v>0.28000000000000003</v>
      </c>
      <c r="G133" s="26">
        <f>_xlfn.IFNA(VLOOKUP(A133,'[1]ETF List'!$A$2:$J$180,8,FALSE)/1000000,"n/a")</f>
        <v>2.0663999999999998</v>
      </c>
      <c r="H133" s="25">
        <f>_xlfn.IFNA(VLOOKUP(A133,'[1]ETF List'!$A$2:$N$180,14,FALSE)/1000000,"n/a")</f>
        <v>1.6399999999999765E-2</v>
      </c>
      <c r="I133" s="26">
        <f>_xlfn.IFNA(VLOOKUP(A133,'[1]ETF List'!$A:$R,18,FALSE)/1000000,"n/a")</f>
        <v>0</v>
      </c>
      <c r="J133" s="27">
        <f>_xlfn.IFNA(VLOOKUP(A133,[1]IRESS!$A$10:$F$875,5,FALSE),"n/a")</f>
        <v>730663.55</v>
      </c>
      <c r="K133" s="28">
        <f>_xlfn.IFNA(VLOOKUP(A133,[1]IRESS!$A$11:$G$684,7,FALSE),"n/a")</f>
        <v>14134</v>
      </c>
      <c r="L133" s="27">
        <f>_xlfn.IFNA(VLOOKUP(A133,[1]IRESS!$A$10:$F$875,4,FALSE),"n/a")</f>
        <v>18</v>
      </c>
      <c r="M133" s="29">
        <f t="shared" si="1"/>
        <v>0.35359250387146735</v>
      </c>
      <c r="N133" s="30">
        <f>_xlfn.IFNA(VLOOKUP(A133,[1]Spreads!$A$1:$G$279,2,FALSE),"n/a")</f>
        <v>3.4648211516164302E-3</v>
      </c>
      <c r="O133" s="28">
        <f>IFERROR(VLOOKUP(A133,[1]Spreads!$A$1:$G$279,5,FALSE)/1000,"n/a")</f>
        <v>557.05177194951102</v>
      </c>
      <c r="P133" s="31">
        <f>IFERROR(VLOOKUP(A133,[1]Spreads!$A$1:$G$279,6,FALSE)/1000,"n/a")</f>
        <v>544.51290300737105</v>
      </c>
      <c r="Q133" s="9"/>
      <c r="R133" s="32">
        <f>_xlfn.IFNA(VLOOKUP($A133,[1]IRESS!$A$11:$AE$696,6,FALSE)/100,"n/a")</f>
        <v>51.93</v>
      </c>
      <c r="S133" s="33">
        <f>_xlfn.IFNA(VLOOKUP($A133,[1]IRESS!$A$11:$AE$696,21,FALSE)/100,"n/a")</f>
        <v>52.14</v>
      </c>
      <c r="T133" s="32">
        <f>_xlfn.IFNA(VLOOKUP($A133,[1]IRESS!$A$11:$AE$696,22,FALSE)/100,"n/a")</f>
        <v>50.9</v>
      </c>
      <c r="V133" s="34">
        <f>IFERROR((VLOOKUP($A133,[1]IRESS!$A$11:$AE$696,20,FALSE)/100)/R133,"n/a")</f>
        <v>0</v>
      </c>
      <c r="W133" s="35">
        <f>IFERROR(VLOOKUP($A133,[1]Morningstar!$A$2:$F$477,3,FALSE),"n/a")</f>
        <v>8.8999999999999999E-3</v>
      </c>
      <c r="X133" s="34" t="str">
        <f>IFERROR(VLOOKUP($A133,[1]Morningstar!$A$2:$F$477,4,FALSE),"n/a")</f>
        <v>n/a</v>
      </c>
      <c r="Y133" s="35" t="str">
        <f>IFERROR(VLOOKUP($A133,[1]Morningstar!$A$2:$F$477,5,FALSE),"n/a")</f>
        <v>n/a</v>
      </c>
      <c r="Z133" s="34" t="str">
        <f>IFERROR(VLOOKUP($A133,[1]Morningstar!$A$2:$F$477,6,FALSE),"n/a")</f>
        <v>n/a</v>
      </c>
    </row>
    <row r="134" spans="1:26">
      <c r="A134" s="21" t="s">
        <v>150</v>
      </c>
      <c r="B134" s="22" t="s">
        <v>43</v>
      </c>
      <c r="C134" s="46" t="str">
        <f>VLOOKUP(A134,'[1]ETF List'!$A$3:$B$185,2,FALSE)</f>
        <v>Vanguard Global Value Equity Active ETF (Managed Fund)</v>
      </c>
      <c r="D134" s="24"/>
      <c r="E134" s="7"/>
      <c r="F134" s="25">
        <f>_xlfn.IFNA(VLOOKUP(A134,'[1]ETF List'!$A$2:$I$180,6,FALSE),"n/a")</f>
        <v>0.28000000000000003</v>
      </c>
      <c r="G134" s="26">
        <f>_xlfn.IFNA(VLOOKUP(A134,'[1]ETF List'!$A$2:$J$180,8,FALSE)/1000000,"n/a")</f>
        <v>6.3132000000000001</v>
      </c>
      <c r="H134" s="25">
        <f>_xlfn.IFNA(VLOOKUP(A134,'[1]ETF List'!$A$2:$N$180,14,FALSE)/1000000,"n/a")</f>
        <v>1.6368</v>
      </c>
      <c r="I134" s="26">
        <f>_xlfn.IFNA(VLOOKUP(A134,'[1]ETF List'!$A:$R,18,FALSE)/1000000,"n/a")</f>
        <v>1.5783</v>
      </c>
      <c r="J134" s="27">
        <f>_xlfn.IFNA(VLOOKUP(A134,[1]IRESS!$A$10:$F$875,5,FALSE),"n/a")</f>
        <v>3770336.4500000007</v>
      </c>
      <c r="K134" s="28">
        <f>_xlfn.IFNA(VLOOKUP(A134,[1]IRESS!$A$11:$G$684,7,FALSE),"n/a")</f>
        <v>71082</v>
      </c>
      <c r="L134" s="27">
        <f>_xlfn.IFNA(VLOOKUP(A134,[1]IRESS!$A$10:$F$875,4,FALSE),"n/a")</f>
        <v>80</v>
      </c>
      <c r="M134" s="29">
        <f t="shared" si="1"/>
        <v>0.59721479598301985</v>
      </c>
      <c r="N134" s="30">
        <f>_xlfn.IFNA(VLOOKUP(A134,[1]Spreads!$A$1:$G$279,2,FALSE),"n/a")</f>
        <v>5.0065643895903702E-3</v>
      </c>
      <c r="O134" s="28">
        <f>IFERROR(VLOOKUP(A134,[1]Spreads!$A$1:$G$279,5,FALSE)/1000,"n/a")</f>
        <v>592.176670429409</v>
      </c>
      <c r="P134" s="31">
        <f>IFERROR(VLOOKUP(A134,[1]Spreads!$A$1:$G$279,6,FALSE)/1000,"n/a")</f>
        <v>543.40969064447791</v>
      </c>
      <c r="Q134" s="9"/>
      <c r="R134" s="32">
        <f>_xlfn.IFNA(VLOOKUP($A134,[1]IRESS!$A$11:$AE$696,6,FALSE)/100,"n/a")</f>
        <v>52.61</v>
      </c>
      <c r="S134" s="33">
        <f>_xlfn.IFNA(VLOOKUP($A134,[1]IRESS!$A$11:$AE$696,21,FALSE)/100,"n/a")</f>
        <v>53.95</v>
      </c>
      <c r="T134" s="32">
        <f>_xlfn.IFNA(VLOOKUP($A134,[1]IRESS!$A$11:$AE$696,22,FALSE)/100,"n/a")</f>
        <v>49.75</v>
      </c>
      <c r="V134" s="34">
        <f>IFERROR((VLOOKUP($A134,[1]IRESS!$A$11:$AE$696,20,FALSE)/100)/R134,"n/a")</f>
        <v>4.6920319330925685E-2</v>
      </c>
      <c r="W134" s="35">
        <f>IFERROR(VLOOKUP($A134,[1]Morningstar!$A$2:$F$477,3,FALSE),"n/a")</f>
        <v>2.5999999999999999E-3</v>
      </c>
      <c r="X134" s="34" t="str">
        <f>IFERROR(VLOOKUP($A134,[1]Morningstar!$A$2:$F$477,4,FALSE),"n/a")</f>
        <v>n/a</v>
      </c>
      <c r="Y134" s="35" t="str">
        <f>IFERROR(VLOOKUP($A134,[1]Morningstar!$A$2:$F$477,5,FALSE),"n/a")</f>
        <v>n/a</v>
      </c>
      <c r="Z134" s="34" t="str">
        <f>IFERROR(VLOOKUP($A134,[1]Morningstar!$A$2:$F$477,6,FALSE),"n/a")</f>
        <v>n/a</v>
      </c>
    </row>
    <row r="135" spans="1:26">
      <c r="A135" s="21" t="s">
        <v>151</v>
      </c>
      <c r="B135" s="22" t="s">
        <v>28</v>
      </c>
      <c r="C135" s="46" t="str">
        <f>VLOOKUP(A135,'[1]ETF List'!$A$3:$B$185,2,FALSE)</f>
        <v>SPDR S&amp;P Global Dividend Fund</v>
      </c>
      <c r="D135" s="24"/>
      <c r="E135" s="7"/>
      <c r="F135" s="25">
        <f>_xlfn.IFNA(VLOOKUP(A135,'[1]ETF List'!$A$2:$I$180,6,FALSE),"n/a")</f>
        <v>0.5</v>
      </c>
      <c r="G135" s="26">
        <f>_xlfn.IFNA(VLOOKUP(A135,'[1]ETF List'!$A$2:$J$180,8,FALSE)/1000000,"n/a")</f>
        <v>169.86153375000001</v>
      </c>
      <c r="H135" s="25">
        <f>_xlfn.IFNA(VLOOKUP(A135,'[1]ETF List'!$A$2:$N$180,14,FALSE)/1000000,"n/a")</f>
        <v>-6.4298000000000002</v>
      </c>
      <c r="I135" s="26">
        <f>_xlfn.IFNA(VLOOKUP(A135,'[1]ETF List'!$A:$R,18,FALSE)/1000000,"n/a")</f>
        <v>0.91949999999999998</v>
      </c>
      <c r="J135" s="27">
        <f>_xlfn.IFNA(VLOOKUP(A135,[1]IRESS!$A$10:$F$875,5,FALSE),"n/a")</f>
        <v>8424120.9450000003</v>
      </c>
      <c r="K135" s="28">
        <f>_xlfn.IFNA(VLOOKUP(A135,[1]IRESS!$A$11:$G$684,7,FALSE),"n/a")</f>
        <v>438840</v>
      </c>
      <c r="L135" s="27">
        <f>_xlfn.IFNA(VLOOKUP(A135,[1]IRESS!$A$10:$F$875,4,FALSE),"n/a")</f>
        <v>574</v>
      </c>
      <c r="M135" s="29">
        <f t="shared" si="1"/>
        <v>4.9594047333862606E-2</v>
      </c>
      <c r="N135" s="30">
        <f>_xlfn.IFNA(VLOOKUP(A135,[1]Spreads!$A$1:$G$279,2,FALSE),"n/a")</f>
        <v>1.8485172253773399E-3</v>
      </c>
      <c r="O135" s="28">
        <f>IFERROR(VLOOKUP(A135,[1]Spreads!$A$1:$G$279,5,FALSE)/1000,"n/a")</f>
        <v>727.05434727607008</v>
      </c>
      <c r="P135" s="31">
        <f>IFERROR(VLOOKUP(A135,[1]Spreads!$A$1:$G$279,6,FALSE)/1000,"n/a")</f>
        <v>683.69273207488095</v>
      </c>
      <c r="Q135" s="9"/>
      <c r="R135" s="32">
        <f>_xlfn.IFNA(VLOOKUP($A135,[1]IRESS!$A$11:$AE$696,6,FALSE)/100,"n/a")</f>
        <v>18.39</v>
      </c>
      <c r="S135" s="33">
        <f>_xlfn.IFNA(VLOOKUP($A135,[1]IRESS!$A$11:$AE$696,21,FALSE)/100,"n/a")</f>
        <v>20</v>
      </c>
      <c r="T135" s="32">
        <f>_xlfn.IFNA(VLOOKUP($A135,[1]IRESS!$A$11:$AE$696,22,FALSE)/100,"n/a")</f>
        <v>17.73</v>
      </c>
      <c r="V135" s="34">
        <f>IFERROR((VLOOKUP($A135,[1]IRESS!$A$11:$AE$696,20,FALSE)/100)/R135,"n/a")</f>
        <v>8.036041326808048E-2</v>
      </c>
      <c r="W135" s="35">
        <f>IFERROR(VLOOKUP($A135,[1]Morningstar!$A$2:$F$477,3,FALSE),"n/a")</f>
        <v>2.2499999999999999E-2</v>
      </c>
      <c r="X135" s="34">
        <f>IFERROR(VLOOKUP($A135,[1]Morningstar!$A$2:$F$477,4,FALSE),"n/a")</f>
        <v>0.1053</v>
      </c>
      <c r="Y135" s="35">
        <f>IFERROR(VLOOKUP($A135,[1]Morningstar!$A$2:$F$477,5,FALSE),"n/a")</f>
        <v>7.0499999999999993E-2</v>
      </c>
      <c r="Z135" s="34" t="str">
        <f>IFERROR(VLOOKUP($A135,[1]Morningstar!$A$2:$F$477,6,FALSE),"n/a")</f>
        <v>n/a</v>
      </c>
    </row>
    <row r="136" spans="1:26" s="36" customFormat="1">
      <c r="A136" s="21" t="s">
        <v>152</v>
      </c>
      <c r="B136" s="22" t="s">
        <v>28</v>
      </c>
      <c r="C136" s="46" t="str">
        <f>VLOOKUP(A136,'[1]ETF List'!$A$3:$B$185,2,FALSE)</f>
        <v>iShares Edge MSCI World Multifactor ETF</v>
      </c>
      <c r="D136" s="24"/>
      <c r="E136" s="7"/>
      <c r="F136" s="25">
        <f>_xlfn.IFNA(VLOOKUP(A136,'[1]ETF List'!$A$2:$I$180,6,FALSE),"n/a")</f>
        <v>0.35</v>
      </c>
      <c r="G136" s="26">
        <f>_xlfn.IFNA(VLOOKUP(A136,'[1]ETF List'!$A$2:$J$180,8,FALSE)/1000000,"n/a")</f>
        <v>70.98609648</v>
      </c>
      <c r="H136" s="25">
        <f>_xlfn.IFNA(VLOOKUP(A136,'[1]ETF List'!$A$2:$N$180,14,FALSE)/1000000,"n/a")</f>
        <v>7.698363960000008</v>
      </c>
      <c r="I136" s="26">
        <f>_xlfn.IFNA(VLOOKUP(A136,'[1]ETF List'!$A:$R,18,FALSE)/1000000,"n/a")</f>
        <v>7.7376000000000014</v>
      </c>
      <c r="J136" s="27">
        <f>_xlfn.IFNA(VLOOKUP(A136,[1]IRESS!$A$10:$F$875,5,FALSE),"n/a")</f>
        <v>11384974.261999998</v>
      </c>
      <c r="K136" s="28">
        <f>_xlfn.IFNA(VLOOKUP(A136,[1]IRESS!$A$11:$G$684,7,FALSE),"n/a")</f>
        <v>350534</v>
      </c>
      <c r="L136" s="27">
        <f>_xlfn.IFNA(VLOOKUP(A136,[1]IRESS!$A$10:$F$875,4,FALSE),"n/a")</f>
        <v>289</v>
      </c>
      <c r="M136" s="29">
        <f t="shared" si="1"/>
        <v>0.16038315707650808</v>
      </c>
      <c r="N136" s="30">
        <f>_xlfn.IFNA(VLOOKUP(A136,[1]Spreads!$A$1:$G$279,2,FALSE),"n/a")</f>
        <v>2.9725002763959902E-3</v>
      </c>
      <c r="O136" s="28">
        <f>IFERROR(VLOOKUP(A136,[1]Spreads!$A$1:$G$279,5,FALSE)/1000,"n/a")</f>
        <v>1457.7807372416401</v>
      </c>
      <c r="P136" s="31">
        <f>IFERROR(VLOOKUP(A136,[1]Spreads!$A$1:$G$279,6,FALSE)/1000,"n/a")</f>
        <v>1886.40394762649</v>
      </c>
      <c r="Q136" s="9"/>
      <c r="R136" s="32">
        <f>_xlfn.IFNA(VLOOKUP($A136,[1]IRESS!$A$11:$AE$696,6,FALSE)/100,"n/a")</f>
        <v>32.229999999999997</v>
      </c>
      <c r="S136" s="33">
        <f>_xlfn.IFNA(VLOOKUP($A136,[1]IRESS!$A$11:$AE$696,21,FALSE)/100,"n/a")</f>
        <v>33.22</v>
      </c>
      <c r="T136" s="32">
        <f>_xlfn.IFNA(VLOOKUP($A136,[1]IRESS!$A$11:$AE$696,22,FALSE)/100,"n/a")</f>
        <v>26.92</v>
      </c>
      <c r="U136" s="7"/>
      <c r="V136" s="34">
        <f>IFERROR((VLOOKUP($A136,[1]IRESS!$A$11:$AE$696,20,FALSE)/100)/R136,"n/a")</f>
        <v>3.0636922122246356E-2</v>
      </c>
      <c r="W136" s="35">
        <f>IFERROR(VLOOKUP($A136,[1]Morningstar!$A$2:$F$477,3,FALSE),"n/a")</f>
        <v>-7.1999999999999998E-3</v>
      </c>
      <c r="X136" s="34">
        <f>IFERROR(VLOOKUP($A136,[1]Morningstar!$A$2:$F$477,4,FALSE),"n/a")</f>
        <v>0.18490000000000001</v>
      </c>
      <c r="Y136" s="35" t="str">
        <f>IFERROR(VLOOKUP($A136,[1]Morningstar!$A$2:$F$477,5,FALSE),"n/a")</f>
        <v>n/a</v>
      </c>
      <c r="Z136" s="34" t="str">
        <f>IFERROR(VLOOKUP($A136,[1]Morningstar!$A$2:$F$477,6,FALSE),"n/a")</f>
        <v>n/a</v>
      </c>
    </row>
    <row r="137" spans="1:26">
      <c r="A137" s="21" t="s">
        <v>153</v>
      </c>
      <c r="B137" s="22" t="s">
        <v>28</v>
      </c>
      <c r="C137" s="46" t="str">
        <f>VLOOKUP(A137,'[1]ETF List'!$A$3:$B$185,2,FALSE)</f>
        <v>iShares Edge MSCI World Minimum Volatility ETF</v>
      </c>
      <c r="D137" s="24"/>
      <c r="E137" s="7"/>
      <c r="F137" s="25">
        <f>_xlfn.IFNA(VLOOKUP(A137,'[1]ETF List'!$A$2:$I$180,6,FALSE),"n/a")</f>
        <v>0.3</v>
      </c>
      <c r="G137" s="26">
        <f>_xlfn.IFNA(VLOOKUP(A137,'[1]ETF List'!$A$2:$J$180,8,FALSE)/1000000,"n/a")</f>
        <v>10.5107321</v>
      </c>
      <c r="H137" s="25">
        <f>_xlfn.IFNA(VLOOKUP(A137,'[1]ETF List'!$A$2:$N$180,14,FALSE)/1000000,"n/a")</f>
        <v>0.23437309999999964</v>
      </c>
      <c r="I137" s="26">
        <f>_xlfn.IFNA(VLOOKUP(A137,'[1]ETF List'!$A:$R,18,FALSE)/1000000,"n/a")</f>
        <v>0</v>
      </c>
      <c r="J137" s="27">
        <f>_xlfn.IFNA(VLOOKUP(A137,[1]IRESS!$A$10:$F$875,5,FALSE),"n/a")</f>
        <v>1227176.6300000001</v>
      </c>
      <c r="K137" s="28">
        <f>_xlfn.IFNA(VLOOKUP(A137,[1]IRESS!$A$11:$G$684,7,FALSE),"n/a")</f>
        <v>42987</v>
      </c>
      <c r="L137" s="27">
        <f>_xlfn.IFNA(VLOOKUP(A137,[1]IRESS!$A$10:$F$875,4,FALSE),"n/a")</f>
        <v>76</v>
      </c>
      <c r="M137" s="29">
        <f t="shared" si="1"/>
        <v>0.11675462929932351</v>
      </c>
      <c r="N137" s="30">
        <f>_xlfn.IFNA(VLOOKUP(A137,[1]Spreads!$A$1:$G$279,2,FALSE),"n/a")</f>
        <v>5.4568967561364505E-3</v>
      </c>
      <c r="O137" s="28">
        <f>IFERROR(VLOOKUP(A137,[1]Spreads!$A$1:$G$279,5,FALSE)/1000,"n/a")</f>
        <v>1438.69394770347</v>
      </c>
      <c r="P137" s="31">
        <f>IFERROR(VLOOKUP(A137,[1]Spreads!$A$1:$G$279,6,FALSE)/1000,"n/a")</f>
        <v>109.635422907956</v>
      </c>
      <c r="Q137" s="9"/>
      <c r="R137" s="32">
        <f>_xlfn.IFNA(VLOOKUP($A137,[1]IRESS!$A$11:$AE$696,6,FALSE)/100,"n/a")</f>
        <v>29.15</v>
      </c>
      <c r="S137" s="33">
        <f>_xlfn.IFNA(VLOOKUP($A137,[1]IRESS!$A$11:$AE$696,21,FALSE)/100,"n/a")</f>
        <v>29.39</v>
      </c>
      <c r="T137" s="32">
        <f>_xlfn.IFNA(VLOOKUP($A137,[1]IRESS!$A$11:$AE$696,22,FALSE)/100,"n/a")</f>
        <v>25.66</v>
      </c>
      <c r="V137" s="34">
        <f>IFERROR((VLOOKUP($A137,[1]IRESS!$A$11:$AE$696,20,FALSE)/100)/R137,"n/a")</f>
        <v>4.2333036020583192E-2</v>
      </c>
      <c r="W137" s="35">
        <f>IFERROR(VLOOKUP($A137,[1]Morningstar!$A$2:$F$477,3,FALSE),"n/a")</f>
        <v>3.3700000000000001E-2</v>
      </c>
      <c r="X137" s="34">
        <f>IFERROR(VLOOKUP($A137,[1]Morningstar!$A$2:$F$477,4,FALSE),"n/a")</f>
        <v>0.1177</v>
      </c>
      <c r="Y137" s="35" t="str">
        <f>IFERROR(VLOOKUP($A137,[1]Morningstar!$A$2:$F$477,5,FALSE),"n/a")</f>
        <v>n/a</v>
      </c>
      <c r="Z137" s="34" t="str">
        <f>IFERROR(VLOOKUP($A137,[1]Morningstar!$A$2:$F$477,6,FALSE),"n/a")</f>
        <v>n/a</v>
      </c>
    </row>
    <row r="138" spans="1:26">
      <c r="A138" s="21" t="s">
        <v>154</v>
      </c>
      <c r="B138" s="22" t="s">
        <v>28</v>
      </c>
      <c r="C138" s="46" t="str">
        <f>VLOOKUP(A138,'[1]ETF List'!$A$3:$B$185,2,FALSE)</f>
        <v>ETFS S&amp;P 500 High Yield Low Volatility ETF</v>
      </c>
      <c r="D138" s="24"/>
      <c r="E138" s="7"/>
      <c r="F138" s="25">
        <f>_xlfn.IFNA(VLOOKUP(A138,'[1]ETF List'!$A$2:$I$180,6,FALSE),"n/a")</f>
        <v>0.35</v>
      </c>
      <c r="G138" s="26">
        <f>_xlfn.IFNA(VLOOKUP(A138,'[1]ETF List'!$A$2:$J$180,8,FALSE)/1000000,"n/a")</f>
        <v>51.674382039999998</v>
      </c>
      <c r="H138" s="25">
        <f>_xlfn.IFNA(VLOOKUP(A138,'[1]ETF List'!$A$2:$N$180,14,FALSE)/1000000,"n/a")</f>
        <v>-0.42307160000000149</v>
      </c>
      <c r="I138" s="26">
        <f>_xlfn.IFNA(VLOOKUP(A138,'[1]ETF List'!$A:$R,18,FALSE)/1000000,"n/a")</f>
        <v>-1.262</v>
      </c>
      <c r="J138" s="27">
        <f>_xlfn.IFNA(VLOOKUP(A138,[1]IRESS!$A$10:$F$875,5,FALSE),"n/a")</f>
        <v>3341374.5200000005</v>
      </c>
      <c r="K138" s="28">
        <f>_xlfn.IFNA(VLOOKUP(A138,[1]IRESS!$A$11:$G$684,7,FALSE),"n/a")</f>
        <v>262888</v>
      </c>
      <c r="L138" s="27">
        <f>_xlfn.IFNA(VLOOKUP(A138,[1]IRESS!$A$10:$F$875,4,FALSE),"n/a")</f>
        <v>150</v>
      </c>
      <c r="M138" s="29">
        <f t="shared" si="1"/>
        <v>6.466210892301559E-2</v>
      </c>
      <c r="N138" s="30">
        <f>_xlfn.IFNA(VLOOKUP(A138,[1]Spreads!$A$1:$G$279,2,FALSE),"n/a")</f>
        <v>2.1757870139432101E-3</v>
      </c>
      <c r="O138" s="28">
        <f>IFERROR(VLOOKUP(A138,[1]Spreads!$A$1:$G$279,5,FALSE)/1000,"n/a")</f>
        <v>197.96299045599102</v>
      </c>
      <c r="P138" s="31">
        <f>IFERROR(VLOOKUP(A138,[1]Spreads!$A$1:$G$279,6,FALSE)/1000,"n/a")</f>
        <v>204.21698227541202</v>
      </c>
      <c r="Q138" s="9"/>
      <c r="R138" s="32">
        <f>_xlfn.IFNA(VLOOKUP($A138,[1]IRESS!$A$11:$AE$696,6,FALSE)/100,"n/a")</f>
        <v>12.59</v>
      </c>
      <c r="S138" s="33">
        <f>_xlfn.IFNA(VLOOKUP($A138,[1]IRESS!$A$11:$AE$696,21,FALSE)/100,"n/a")</f>
        <v>13.21</v>
      </c>
      <c r="T138" s="32">
        <f>_xlfn.IFNA(VLOOKUP($A138,[1]IRESS!$A$11:$AE$696,22,FALSE)/100,"n/a")</f>
        <v>11.35</v>
      </c>
      <c r="V138" s="34">
        <f>IFERROR((VLOOKUP($A138,[1]IRESS!$A$11:$AE$696,20,FALSE)/100)/R138,"n/a")</f>
        <v>5.5374265289912634E-2</v>
      </c>
      <c r="W138" s="35">
        <f>IFERROR(VLOOKUP($A138,[1]Morningstar!$A$2:$F$477,3,FALSE),"n/a")</f>
        <v>4.9200000000000001E-2</v>
      </c>
      <c r="X138" s="34">
        <f>IFERROR(VLOOKUP($A138,[1]Morningstar!$A$2:$F$477,4,FALSE),"n/a")</f>
        <v>9.3600000000000003E-2</v>
      </c>
      <c r="Y138" s="35">
        <f>IFERROR(VLOOKUP($A138,[1]Morningstar!$A$2:$F$477,5,FALSE),"n/a")</f>
        <v>0.13850000000000001</v>
      </c>
      <c r="Z138" s="34" t="str">
        <f>IFERROR(VLOOKUP($A138,[1]Morningstar!$A$2:$F$477,6,FALSE),"n/a")</f>
        <v>n/a</v>
      </c>
    </row>
    <row r="139" spans="1:26">
      <c r="A139" s="37" t="s">
        <v>155</v>
      </c>
      <c r="B139" s="38"/>
      <c r="C139" s="38"/>
      <c r="D139" s="38"/>
      <c r="E139" s="7"/>
      <c r="F139" s="39"/>
      <c r="G139" s="39"/>
      <c r="H139" s="39"/>
      <c r="I139" s="39"/>
      <c r="J139" s="39"/>
      <c r="K139" s="39"/>
      <c r="L139" s="39"/>
      <c r="M139" s="40"/>
      <c r="N139" s="40"/>
      <c r="O139" s="39"/>
      <c r="P139" s="41"/>
      <c r="Q139" s="9"/>
      <c r="R139" s="42"/>
      <c r="S139" s="42"/>
      <c r="T139" s="42"/>
      <c r="V139" s="43"/>
      <c r="W139" s="44"/>
      <c r="X139" s="44"/>
      <c r="Y139" s="44"/>
      <c r="Z139" s="38"/>
    </row>
    <row r="140" spans="1:26">
      <c r="A140" s="21" t="s">
        <v>156</v>
      </c>
      <c r="B140" s="22" t="s">
        <v>28</v>
      </c>
      <c r="C140" s="46" t="str">
        <f>VLOOKUP(A140,'[1]ETF List'!$A$3:$B$185,2,FALSE)</f>
        <v>ETFS Global Core Infrastructure ETF</v>
      </c>
      <c r="D140" s="24"/>
      <c r="E140" s="7"/>
      <c r="F140" s="25">
        <f>_xlfn.IFNA(VLOOKUP(A140,'[1]ETF List'!$A$2:$I$180,6,FALSE),"n/a")</f>
        <v>0.45</v>
      </c>
      <c r="G140" s="26">
        <f>_xlfn.IFNA(VLOOKUP(A140,'[1]ETF List'!$A$2:$J$180,8,FALSE)/1000000,"n/a")</f>
        <v>3.1759058599999999</v>
      </c>
      <c r="H140" s="25">
        <f>_xlfn.IFNA(VLOOKUP(A140,'[1]ETF List'!$A$2:$N$180,14,FALSE)/1000000,"n/a")</f>
        <v>2.3400779999999795E-2</v>
      </c>
      <c r="I140" s="26">
        <f>_xlfn.IFNA(VLOOKUP(A140,'[1]ETF List'!$A:$R,18,FALSE)/1000000,"n/a")</f>
        <v>0</v>
      </c>
      <c r="J140" s="27">
        <f>_xlfn.IFNA(VLOOKUP(A140,[1]IRESS!$A$10:$F$875,5,FALSE),"n/a")</f>
        <v>58944.130000000005</v>
      </c>
      <c r="K140" s="28">
        <f>_xlfn.IFNA(VLOOKUP(A140,[1]IRESS!$A$11:$G$684,7,FALSE),"n/a")</f>
        <v>1134</v>
      </c>
      <c r="L140" s="27">
        <f>_xlfn.IFNA(VLOOKUP(A140,[1]IRESS!$A$10:$F$875,4,FALSE),"n/a")</f>
        <v>9</v>
      </c>
      <c r="M140" s="29">
        <f t="shared" si="1"/>
        <v>1.8559785018312857E-2</v>
      </c>
      <c r="N140" s="30">
        <f>_xlfn.IFNA(VLOOKUP(A140,[1]Spreads!$A$1:$G$279,2,FALSE),"n/a")</f>
        <v>6.66269147658904E-3</v>
      </c>
      <c r="O140" s="28">
        <f>IFERROR(VLOOKUP(A140,[1]Spreads!$A$1:$G$279,5,FALSE)/1000,"n/a")</f>
        <v>255.06757109928202</v>
      </c>
      <c r="P140" s="31">
        <f>IFERROR(VLOOKUP(A140,[1]Spreads!$A$1:$G$279,6,FALSE)/1000,"n/a")</f>
        <v>633.83516821947796</v>
      </c>
      <c r="Q140" s="9"/>
      <c r="R140" s="32">
        <f>_xlfn.IFNA(VLOOKUP($A140,[1]IRESS!$A$11:$AE$696,6,FALSE)/100,"n/a")</f>
        <v>53.73</v>
      </c>
      <c r="S140" s="33">
        <f>_xlfn.IFNA(VLOOKUP($A140,[1]IRESS!$A$11:$AE$696,21,FALSE)/100,"n/a")</f>
        <v>55.29</v>
      </c>
      <c r="T140" s="32">
        <f>_xlfn.IFNA(VLOOKUP($A140,[1]IRESS!$A$11:$AE$696,22,FALSE)/100,"n/a")</f>
        <v>48.25</v>
      </c>
      <c r="V140" s="34">
        <f>IFERROR((VLOOKUP($A140,[1]IRESS!$A$11:$AE$696,20,FALSE)/100)/R140,"n/a")</f>
        <v>1.8004652894100134E-2</v>
      </c>
      <c r="W140" s="35">
        <f>IFERROR(VLOOKUP($A140,[1]Morningstar!$A$2:$F$477,3,FALSE),"n/a")</f>
        <v>8.2000000000000007E-3</v>
      </c>
      <c r="X140" s="34" t="str">
        <f>IFERROR(VLOOKUP($A140,[1]Morningstar!$A$2:$F$477,4,FALSE),"n/a")</f>
        <v>n/a</v>
      </c>
      <c r="Y140" s="35" t="str">
        <f>IFERROR(VLOOKUP($A140,[1]Morningstar!$A$2:$F$477,5,FALSE),"n/a")</f>
        <v>n/a</v>
      </c>
      <c r="Z140" s="34" t="str">
        <f>IFERROR(VLOOKUP($A140,[1]Morningstar!$A$2:$F$477,6,FALSE),"n/a")</f>
        <v>n/a</v>
      </c>
    </row>
    <row r="141" spans="1:26" s="36" customFormat="1">
      <c r="A141" s="21" t="s">
        <v>157</v>
      </c>
      <c r="B141" s="22" t="s">
        <v>43</v>
      </c>
      <c r="C141" s="46" t="str">
        <f>VLOOKUP(A141,'[1]ETF List'!$A$3:$B$185,2,FALSE)</f>
        <v>AMP Capital Global Infrastructure Securities Fund (Unhedged) (Managed Fund)</v>
      </c>
      <c r="D141" s="24"/>
      <c r="E141" s="7"/>
      <c r="F141" s="25">
        <f>_xlfn.IFNA(VLOOKUP(A141,'[1]ETF List'!$A$2:$I$180,6,FALSE),"n/a")</f>
        <v>0.85000000000000009</v>
      </c>
      <c r="G141" s="26">
        <f>_xlfn.IFNA(VLOOKUP(A141,'[1]ETF List'!$A$2:$J$180,8,FALSE)/1000000,"n/a")</f>
        <v>23.560629120000002</v>
      </c>
      <c r="H141" s="25">
        <f>_xlfn.IFNA(VLOOKUP(A141,'[1]ETF List'!$A$2:$N$180,14,FALSE)/1000000,"n/a")</f>
        <v>0.89690664000000064</v>
      </c>
      <c r="I141" s="26">
        <f>_xlfn.IFNA(VLOOKUP(A141,'[1]ETF List'!$A:$R,18,FALSE)/1000000,"n/a")</f>
        <v>-0.24065472000000002</v>
      </c>
      <c r="J141" s="27">
        <f>_xlfn.IFNA(VLOOKUP(A141,[1]IRESS!$A$10:$F$875,5,FALSE),"n/a")</f>
        <v>683003.24</v>
      </c>
      <c r="K141" s="28">
        <f>_xlfn.IFNA(VLOOKUP(A141,[1]IRESS!$A$11:$G$684,7,FALSE),"n/a")</f>
        <v>257952</v>
      </c>
      <c r="L141" s="27">
        <f>_xlfn.IFNA(VLOOKUP(A141,[1]IRESS!$A$10:$F$875,4,FALSE),"n/a")</f>
        <v>29</v>
      </c>
      <c r="M141" s="29">
        <f t="shared" si="1"/>
        <v>2.8989176669319768E-2</v>
      </c>
      <c r="N141" s="30">
        <f>_xlfn.IFNA(VLOOKUP(A141,[1]Spreads!$A$1:$G$279,2,FALSE),"n/a")</f>
        <v>7.0187532444174108E-3</v>
      </c>
      <c r="O141" s="28">
        <f>IFERROR(VLOOKUP(A141,[1]Spreads!$A$1:$G$279,5,FALSE)/1000,"n/a")</f>
        <v>792.65767071502705</v>
      </c>
      <c r="P141" s="31">
        <f>IFERROR(VLOOKUP(A141,[1]Spreads!$A$1:$G$279,6,FALSE)/1000,"n/a")</f>
        <v>785.16423884921903</v>
      </c>
      <c r="Q141" s="9"/>
      <c r="R141" s="32">
        <f>_xlfn.IFNA(VLOOKUP($A141,[1]IRESS!$A$11:$AE$696,6,FALSE)/100,"n/a")</f>
        <v>2.72</v>
      </c>
      <c r="S141" s="33">
        <f>_xlfn.IFNA(VLOOKUP($A141,[1]IRESS!$A$11:$AE$696,21,FALSE)/100,"n/a")</f>
        <v>2.81</v>
      </c>
      <c r="T141" s="32">
        <f>_xlfn.IFNA(VLOOKUP($A141,[1]IRESS!$A$11:$AE$696,22,FALSE)/100,"n/a")</f>
        <v>2.44</v>
      </c>
      <c r="U141" s="7"/>
      <c r="V141" s="34">
        <f>IFERROR((VLOOKUP($A141,[1]IRESS!$A$11:$AE$696,20,FALSE)/100)/R141,"n/a")</f>
        <v>2.1435294117647059E-2</v>
      </c>
      <c r="W141" s="35">
        <f>IFERROR(VLOOKUP($A141,[1]Morningstar!$A$2:$F$477,3,FALSE),"n/a")</f>
        <v>5.0299999999999997E-2</v>
      </c>
      <c r="X141" s="34">
        <f>IFERROR(VLOOKUP($A141,[1]Morningstar!$A$2:$F$477,4,FALSE),"n/a")</f>
        <v>4.1799999999999997E-2</v>
      </c>
      <c r="Y141" s="35" t="str">
        <f>IFERROR(VLOOKUP($A141,[1]Morningstar!$A$2:$F$477,5,FALSE),"n/a")</f>
        <v>n/a</v>
      </c>
      <c r="Z141" s="34" t="str">
        <f>IFERROR(VLOOKUP($A141,[1]Morningstar!$A$2:$F$477,6,FALSE),"n/a")</f>
        <v>n/a</v>
      </c>
    </row>
    <row r="142" spans="1:26">
      <c r="A142" s="21" t="s">
        <v>158</v>
      </c>
      <c r="B142" s="22" t="s">
        <v>28</v>
      </c>
      <c r="C142" s="46" t="str">
        <f>VLOOKUP(A142,'[1]ETF List'!$A$3:$B$185,2,FALSE)</f>
        <v>VanEck Vectors FTSE Global Infrastructure (Hedged) ETF</v>
      </c>
      <c r="D142" s="24"/>
      <c r="E142" s="7"/>
      <c r="F142" s="25">
        <f>_xlfn.IFNA(VLOOKUP(A142,'[1]ETF List'!$A$2:$I$180,6,FALSE),"n/a")</f>
        <v>0.52</v>
      </c>
      <c r="G142" s="26">
        <f>_xlfn.IFNA(VLOOKUP(A142,'[1]ETF List'!$A$2:$J$180,8,FALSE)/1000000,"n/a")</f>
        <v>77.068558080000003</v>
      </c>
      <c r="H142" s="25">
        <f>_xlfn.IFNA(VLOOKUP(A142,'[1]ETF List'!$A$2:$N$180,14,FALSE)/1000000,"n/a")</f>
        <v>1.9425716800000072</v>
      </c>
      <c r="I142" s="26">
        <f>_xlfn.IFNA(VLOOKUP(A142,'[1]ETF List'!$A:$R,18,FALSE)/1000000,"n/a")</f>
        <v>0</v>
      </c>
      <c r="J142" s="27">
        <f>_xlfn.IFNA(VLOOKUP(A142,[1]IRESS!$A$10:$F$875,5,FALSE),"n/a")</f>
        <v>4259548.25</v>
      </c>
      <c r="K142" s="28">
        <f>_xlfn.IFNA(VLOOKUP(A142,[1]IRESS!$A$11:$G$684,7,FALSE),"n/a")</f>
        <v>224580</v>
      </c>
      <c r="L142" s="27">
        <f>_xlfn.IFNA(VLOOKUP(A142,[1]IRESS!$A$10:$F$875,4,FALSE),"n/a")</f>
        <v>265</v>
      </c>
      <c r="M142" s="29">
        <f t="shared" ref="M142:M206" si="2">IFERROR(+J142/(G142*1000000),"n/a")</f>
        <v>5.5269598343573943E-2</v>
      </c>
      <c r="N142" s="30">
        <f>_xlfn.IFNA(VLOOKUP(A142,[1]Spreads!$A$1:$G$279,2,FALSE),"n/a")</f>
        <v>2.69850775008598E-3</v>
      </c>
      <c r="O142" s="28">
        <f>IFERROR(VLOOKUP(A142,[1]Spreads!$A$1:$G$279,5,FALSE)/1000,"n/a")</f>
        <v>690.97822461962198</v>
      </c>
      <c r="P142" s="31">
        <f>IFERROR(VLOOKUP(A142,[1]Spreads!$A$1:$G$279,6,FALSE)/1000,"n/a")</f>
        <v>720.39459163642505</v>
      </c>
      <c r="Q142" s="9"/>
      <c r="R142" s="32">
        <f>_xlfn.IFNA(VLOOKUP($A142,[1]IRESS!$A$11:$AE$696,6,FALSE)/100,"n/a")</f>
        <v>19.440000000000001</v>
      </c>
      <c r="S142" s="33">
        <f>_xlfn.IFNA(VLOOKUP($A142,[1]IRESS!$A$11:$AE$696,21,FALSE)/100,"n/a")</f>
        <v>20.29</v>
      </c>
      <c r="T142" s="32">
        <f>_xlfn.IFNA(VLOOKUP($A142,[1]IRESS!$A$11:$AE$696,22,FALSE)/100,"n/a")</f>
        <v>17.690000000000001</v>
      </c>
      <c r="V142" s="34">
        <f>IFERROR((VLOOKUP($A142,[1]IRESS!$A$11:$AE$696,20,FALSE)/100)/R142,"n/a")</f>
        <v>3.7037037037037035E-2</v>
      </c>
      <c r="W142" s="35">
        <f>IFERROR(VLOOKUP($A142,[1]Morningstar!$A$2:$F$477,3,FALSE),"n/a")</f>
        <v>2.92E-2</v>
      </c>
      <c r="X142" s="34">
        <f>IFERROR(VLOOKUP($A142,[1]Morningstar!$A$2:$F$477,4,FALSE),"n/a")</f>
        <v>3.2300000000000002E-2</v>
      </c>
      <c r="Y142" s="35" t="str">
        <f>IFERROR(VLOOKUP($A142,[1]Morningstar!$A$2:$F$477,5,FALSE),"n/a")</f>
        <v>n/a</v>
      </c>
      <c r="Z142" s="34" t="str">
        <f>IFERROR(VLOOKUP($A142,[1]Morningstar!$A$2:$F$477,6,FALSE),"n/a")</f>
        <v>n/a</v>
      </c>
    </row>
    <row r="143" spans="1:26">
      <c r="A143" s="21" t="s">
        <v>159</v>
      </c>
      <c r="B143" s="22" t="s">
        <v>43</v>
      </c>
      <c r="C143" s="46" t="str">
        <f>VLOOKUP(A143,'[1]ETF List'!$A$3:$B$185,2,FALSE)</f>
        <v>Magellan Infrastructure Fund (Currency Hedged) (Managed Fund)</v>
      </c>
      <c r="D143" s="24"/>
      <c r="E143" s="7"/>
      <c r="F143" s="25">
        <f>_xlfn.IFNA(VLOOKUP(A143,'[1]ETF List'!$A$2:$I$180,6,FALSE),"n/a")</f>
        <v>1.05</v>
      </c>
      <c r="G143" s="26">
        <f>_xlfn.IFNA(VLOOKUP(A143,'[1]ETF List'!$A$2:$J$180,8,FALSE)/1000000,"n/a")</f>
        <v>179.30221871999998</v>
      </c>
      <c r="H143" s="25">
        <f>_xlfn.IFNA(VLOOKUP(A143,'[1]ETF List'!$A$2:$N$180,14,FALSE)/1000000,"n/a")</f>
        <v>4.9539709200000166</v>
      </c>
      <c r="I143" s="26">
        <f>_xlfn.IFNA(VLOOKUP(A143,'[1]ETF List'!$A:$R,18,FALSE)/1000000,"n/a")</f>
        <v>4.9539709200000202</v>
      </c>
      <c r="J143" s="27">
        <f>_xlfn.IFNA(VLOOKUP(A143,[1]IRESS!$A$10:$F$875,5,FALSE),"n/a")</f>
        <v>6639642.7899999991</v>
      </c>
      <c r="K143" s="28">
        <f>_xlfn.IFNA(VLOOKUP(A143,[1]IRESS!$A$11:$G$684,7,FALSE),"n/a")</f>
        <v>2405633</v>
      </c>
      <c r="L143" s="27">
        <f>_xlfn.IFNA(VLOOKUP(A143,[1]IRESS!$A$10:$F$875,4,FALSE),"n/a")</f>
        <v>347</v>
      </c>
      <c r="M143" s="29">
        <f t="shared" si="2"/>
        <v>3.7030455269315581E-2</v>
      </c>
      <c r="N143" s="30">
        <f>_xlfn.IFNA(VLOOKUP(A143,[1]Spreads!$A$1:$G$279,2,FALSE),"n/a")</f>
        <v>4.2461982541183302E-3</v>
      </c>
      <c r="O143" s="28">
        <f>IFERROR(VLOOKUP(A143,[1]Spreads!$A$1:$G$279,5,FALSE)/1000,"n/a")</f>
        <v>1533.37805572771</v>
      </c>
      <c r="P143" s="31">
        <f>IFERROR(VLOOKUP(A143,[1]Spreads!$A$1:$G$279,6,FALSE)/1000,"n/a")</f>
        <v>859.45677995688095</v>
      </c>
      <c r="Q143" s="9"/>
      <c r="R143" s="32">
        <f>_xlfn.IFNA(VLOOKUP($A143,[1]IRESS!$A$11:$AE$696,6,FALSE)/100,"n/a")</f>
        <v>2.76</v>
      </c>
      <c r="S143" s="33">
        <f>_xlfn.IFNA(VLOOKUP($A143,[1]IRESS!$A$11:$AE$696,21,FALSE)/100,"n/a")</f>
        <v>2.84</v>
      </c>
      <c r="T143" s="32">
        <f>_xlfn.IFNA(VLOOKUP($A143,[1]IRESS!$A$11:$AE$696,22,FALSE)/100,"n/a")</f>
        <v>2.57</v>
      </c>
      <c r="V143" s="34">
        <f>IFERROR((VLOOKUP($A143,[1]IRESS!$A$11:$AE$696,20,FALSE)/100)/R143,"n/a")</f>
        <v>2.7536231884057974E-2</v>
      </c>
      <c r="W143" s="35">
        <f>IFERROR(VLOOKUP($A143,[1]Morningstar!$A$2:$F$477,3,FALSE),"n/a")</f>
        <v>2.5700000000000001E-2</v>
      </c>
      <c r="X143" s="34">
        <f>IFERROR(VLOOKUP($A143,[1]Morningstar!$A$2:$F$477,4,FALSE),"n/a")</f>
        <v>7.0300000000000001E-2</v>
      </c>
      <c r="Y143" s="35" t="str">
        <f>IFERROR(VLOOKUP($A143,[1]Morningstar!$A$2:$F$477,5,FALSE),"n/a")</f>
        <v>n/a</v>
      </c>
      <c r="Z143" s="34" t="str">
        <f>IFERROR(VLOOKUP($A143,[1]Morningstar!$A$2:$F$477,6,FALSE),"n/a")</f>
        <v>n/a</v>
      </c>
    </row>
    <row r="144" spans="1:26">
      <c r="A144" s="37" t="s">
        <v>160</v>
      </c>
      <c r="B144" s="38"/>
      <c r="C144" s="38"/>
      <c r="D144" s="38"/>
      <c r="E144" s="7"/>
      <c r="F144" s="39"/>
      <c r="G144" s="39"/>
      <c r="H144" s="39"/>
      <c r="I144" s="39"/>
      <c r="J144" s="39"/>
      <c r="K144" s="39"/>
      <c r="L144" s="39"/>
      <c r="M144" s="40"/>
      <c r="N144" s="40"/>
      <c r="O144" s="39"/>
      <c r="P144" s="41"/>
      <c r="Q144" s="9"/>
      <c r="R144" s="42"/>
      <c r="S144" s="42"/>
      <c r="T144" s="42"/>
      <c r="V144" s="43"/>
      <c r="W144" s="44"/>
      <c r="X144" s="44"/>
      <c r="Y144" s="44"/>
      <c r="Z144" s="38"/>
    </row>
    <row r="145" spans="1:26">
      <c r="A145" s="21" t="s">
        <v>161</v>
      </c>
      <c r="B145" s="22" t="s">
        <v>28</v>
      </c>
      <c r="C145" s="46" t="str">
        <f>VLOOKUP(A145,'[1]ETF List'!$A$3:$B$185,2,FALSE)</f>
        <v>VanEck Vectors Australian Property ETF</v>
      </c>
      <c r="D145" s="24"/>
      <c r="E145" s="7"/>
      <c r="F145" s="25">
        <f>_xlfn.IFNA(VLOOKUP(A145,'[1]ETF List'!$A$2:$I$180,6,FALSE),"n/a")</f>
        <v>0.35</v>
      </c>
      <c r="G145" s="26">
        <f>_xlfn.IFNA(VLOOKUP(A145,'[1]ETF List'!$A$2:$J$180,8,FALSE)/1000000,"n/a")</f>
        <v>119.86867739</v>
      </c>
      <c r="H145" s="25">
        <f>_xlfn.IFNA(VLOOKUP(A145,'[1]ETF List'!$A$2:$N$180,14,FALSE)/1000000,"n/a")</f>
        <v>4.2346447500000002</v>
      </c>
      <c r="I145" s="26">
        <f>_xlfn.IFNA(VLOOKUP(A145,'[1]ETF List'!$A:$R,18,FALSE)/1000000,"n/a")</f>
        <v>0</v>
      </c>
      <c r="J145" s="27">
        <f>_xlfn.IFNA(VLOOKUP(A145,[1]IRESS!$A$10:$F$875,5,FALSE),"n/a")</f>
        <v>4859320.43</v>
      </c>
      <c r="K145" s="28">
        <f>_xlfn.IFNA(VLOOKUP(A145,[1]IRESS!$A$11:$G$684,7,FALSE),"n/a")</f>
        <v>235419</v>
      </c>
      <c r="L145" s="27">
        <f>_xlfn.IFNA(VLOOKUP(A145,[1]IRESS!$A$10:$F$875,4,FALSE),"n/a")</f>
        <v>215</v>
      </c>
      <c r="M145" s="29">
        <f t="shared" si="2"/>
        <v>4.0538700649794493E-2</v>
      </c>
      <c r="N145" s="30">
        <f>_xlfn.IFNA(VLOOKUP(A145,[1]Spreads!$A$1:$G$279,2,FALSE),"n/a")</f>
        <v>1.2259169509031E-3</v>
      </c>
      <c r="O145" s="28">
        <f>IFERROR(VLOOKUP(A145,[1]Spreads!$A$1:$G$279,5,FALSE)/1000,"n/a")</f>
        <v>405.10108429630998</v>
      </c>
      <c r="P145" s="31">
        <f>IFERROR(VLOOKUP(A145,[1]Spreads!$A$1:$G$279,6,FALSE)/1000,"n/a")</f>
        <v>621.67800610574909</v>
      </c>
      <c r="Q145" s="9"/>
      <c r="R145" s="32">
        <f>_xlfn.IFNA(VLOOKUP($A145,[1]IRESS!$A$11:$AE$696,6,FALSE)/100,"n/a")</f>
        <v>21</v>
      </c>
      <c r="S145" s="33">
        <f>_xlfn.IFNA(VLOOKUP($A145,[1]IRESS!$A$11:$AE$696,21,FALSE)/100,"n/a")</f>
        <v>21.96</v>
      </c>
      <c r="T145" s="32">
        <f>_xlfn.IFNA(VLOOKUP($A145,[1]IRESS!$A$11:$AE$696,22,FALSE)/100,"n/a")</f>
        <v>18.559999999999999</v>
      </c>
      <c r="V145" s="34">
        <f>IFERROR((VLOOKUP($A145,[1]IRESS!$A$11:$AE$696,20,FALSE)/100)/R145,"n/a")</f>
        <v>4.8095238095238094E-2</v>
      </c>
      <c r="W145" s="35">
        <f>IFERROR(VLOOKUP($A145,[1]Morningstar!$A$2:$F$477,3,FALSE),"n/a")</f>
        <v>2.9100000000000001E-2</v>
      </c>
      <c r="X145" s="34">
        <f>IFERROR(VLOOKUP($A145,[1]Morningstar!$A$2:$F$477,4,FALSE),"n/a")</f>
        <v>0.13489999999999999</v>
      </c>
      <c r="Y145" s="35">
        <f>IFERROR(VLOOKUP($A145,[1]Morningstar!$A$2:$F$477,5,FALSE),"n/a")</f>
        <v>0.1036</v>
      </c>
      <c r="Z145" s="34" t="str">
        <f>IFERROR(VLOOKUP($A145,[1]Morningstar!$A$2:$F$477,6,FALSE),"n/a")</f>
        <v>n/a</v>
      </c>
    </row>
    <row r="146" spans="1:26" s="36" customFormat="1">
      <c r="A146" s="21" t="s">
        <v>162</v>
      </c>
      <c r="B146" s="22" t="s">
        <v>43</v>
      </c>
      <c r="C146" s="46" t="str">
        <f>VLOOKUP(A146,'[1]ETF List'!$A$3:$B$185,2,FALSE)</f>
        <v>BetaShares Legg Mason Real Income Fund (Managed Fund)</v>
      </c>
      <c r="D146" s="24"/>
      <c r="E146" s="7"/>
      <c r="F146" s="25">
        <f>_xlfn.IFNA(VLOOKUP(A146,'[1]ETF List'!$A$2:$I$180,6,FALSE),"n/a")</f>
        <v>0.85</v>
      </c>
      <c r="G146" s="26">
        <f>_xlfn.IFNA(VLOOKUP(A146,'[1]ETF List'!$A$2:$J$180,8,FALSE)/1000000,"n/a")</f>
        <v>10.472588389999999</v>
      </c>
      <c r="H146" s="25">
        <f>_xlfn.IFNA(VLOOKUP(A146,'[1]ETF List'!$A$2:$N$180,14,FALSE)/1000000,"n/a")</f>
        <v>1.3725223899999988</v>
      </c>
      <c r="I146" s="26">
        <f>_xlfn.IFNA(VLOOKUP(A146,'[1]ETF List'!$A:$R,18,FALSE)/1000000,"n/a")</f>
        <v>1.1691091499999999</v>
      </c>
      <c r="J146" s="27">
        <f>_xlfn.IFNA(VLOOKUP(A146,[1]IRESS!$A$10:$F$875,5,FALSE),"n/a")</f>
        <v>1212891.8500000001</v>
      </c>
      <c r="K146" s="28">
        <f>_xlfn.IFNA(VLOOKUP(A146,[1]IRESS!$A$11:$G$684,7,FALSE),"n/a")</f>
        <v>140975</v>
      </c>
      <c r="L146" s="27">
        <f>_xlfn.IFNA(VLOOKUP(A146,[1]IRESS!$A$10:$F$875,4,FALSE),"n/a")</f>
        <v>37</v>
      </c>
      <c r="M146" s="29">
        <f t="shared" si="2"/>
        <v>0.1158158618320337</v>
      </c>
      <c r="N146" s="30">
        <f>_xlfn.IFNA(VLOOKUP(A146,[1]Spreads!$A$1:$G$279,2,FALSE),"n/a")</f>
        <v>4.6046835142941004E-3</v>
      </c>
      <c r="O146" s="28">
        <f>IFERROR(VLOOKUP(A146,[1]Spreads!$A$1:$G$279,5,FALSE)/1000,"n/a")</f>
        <v>3833.1308707325702</v>
      </c>
      <c r="P146" s="31">
        <f>IFERROR(VLOOKUP(A146,[1]Spreads!$A$1:$G$279,6,FALSE)/1000,"n/a")</f>
        <v>3867.8128849506002</v>
      </c>
      <c r="Q146" s="9"/>
      <c r="R146" s="32">
        <f>_xlfn.IFNA(VLOOKUP($A146,[1]IRESS!$A$11:$AE$696,6,FALSE)/100,"n/a")</f>
        <v>8.69</v>
      </c>
      <c r="S146" s="33">
        <f>_xlfn.IFNA(VLOOKUP($A146,[1]IRESS!$A$11:$AE$696,21,FALSE)/100,"n/a")</f>
        <v>8.73</v>
      </c>
      <c r="T146" s="32">
        <f>_xlfn.IFNA(VLOOKUP($A146,[1]IRESS!$A$11:$AE$696,22,FALSE)/100,"n/a")</f>
        <v>8.02</v>
      </c>
      <c r="U146" s="7"/>
      <c r="V146" s="34">
        <f>IFERROR((VLOOKUP($A146,[1]IRESS!$A$11:$AE$696,20,FALSE)/100)/R146,"n/a")</f>
        <v>2.0677790563866517E-2</v>
      </c>
      <c r="W146" s="35">
        <f>IFERROR(VLOOKUP($A146,[1]Morningstar!$A$2:$F$477,3,FALSE),"n/a")</f>
        <v>1.9900000000000001E-2</v>
      </c>
      <c r="X146" s="34" t="str">
        <f>IFERROR(VLOOKUP($A146,[1]Morningstar!$A$2:$F$477,4,FALSE),"n/a")</f>
        <v>n/a</v>
      </c>
      <c r="Y146" s="35" t="str">
        <f>IFERROR(VLOOKUP($A146,[1]Morningstar!$A$2:$F$477,5,FALSE),"n/a")</f>
        <v>n/a</v>
      </c>
      <c r="Z146" s="34" t="str">
        <f>IFERROR(VLOOKUP($A146,[1]Morningstar!$A$2:$F$477,6,FALSE),"n/a")</f>
        <v>n/a</v>
      </c>
    </row>
    <row r="147" spans="1:26">
      <c r="A147" s="21" t="s">
        <v>163</v>
      </c>
      <c r="B147" s="22" t="s">
        <v>28</v>
      </c>
      <c r="C147" s="46" t="str">
        <f>VLOOKUP(A147,'[1]ETF List'!$A$3:$B$185,2,FALSE)</f>
        <v>SPDR S&amp;P/ASX 200 Listed Property Fund</v>
      </c>
      <c r="D147" s="24"/>
      <c r="E147" s="7"/>
      <c r="F147" s="25">
        <f>_xlfn.IFNA(VLOOKUP(A147,'[1]ETF List'!$A$2:$I$180,6,FALSE),"n/a")</f>
        <v>0.4</v>
      </c>
      <c r="G147" s="26">
        <f>_xlfn.IFNA(VLOOKUP(A147,'[1]ETF List'!$A$2:$J$180,8,FALSE)/1000000,"n/a")</f>
        <v>554.01801262000004</v>
      </c>
      <c r="H147" s="25">
        <f>_xlfn.IFNA(VLOOKUP(A147,'[1]ETF List'!$A$2:$N$180,14,FALSE)/1000000,"n/a")</f>
        <v>-21.511000490000008</v>
      </c>
      <c r="I147" s="26">
        <f>_xlfn.IFNA(VLOOKUP(A147,'[1]ETF List'!$A:$R,18,FALSE)/1000000,"n/a")</f>
        <v>0</v>
      </c>
      <c r="J147" s="27">
        <f>_xlfn.IFNA(VLOOKUP(A147,[1]IRESS!$A$10:$F$875,5,FALSE),"n/a")</f>
        <v>20927913.695000004</v>
      </c>
      <c r="K147" s="28">
        <f>_xlfn.IFNA(VLOOKUP(A147,[1]IRESS!$A$11:$G$684,7,FALSE),"n/a")</f>
        <v>1600525</v>
      </c>
      <c r="L147" s="27">
        <f>_xlfn.IFNA(VLOOKUP(A147,[1]IRESS!$A$10:$F$875,4,FALSE),"n/a")</f>
        <v>1236</v>
      </c>
      <c r="M147" s="29">
        <f t="shared" si="2"/>
        <v>3.7774789299773945E-2</v>
      </c>
      <c r="N147" s="30">
        <f>_xlfn.IFNA(VLOOKUP(A147,[1]Spreads!$A$1:$G$279,2,FALSE),"n/a")</f>
        <v>1.45553090884171E-3</v>
      </c>
      <c r="O147" s="28">
        <f>IFERROR(VLOOKUP(A147,[1]Spreads!$A$1:$G$279,5,FALSE)/1000,"n/a")</f>
        <v>2337.5858241676897</v>
      </c>
      <c r="P147" s="31">
        <f>IFERROR(VLOOKUP(A147,[1]Spreads!$A$1:$G$279,6,FALSE)/1000,"n/a")</f>
        <v>1505.6507272024699</v>
      </c>
      <c r="Q147" s="9"/>
      <c r="R147" s="32">
        <f>_xlfn.IFNA(VLOOKUP($A147,[1]IRESS!$A$11:$AE$696,6,FALSE)/100,"n/a")</f>
        <v>12.62</v>
      </c>
      <c r="S147" s="33">
        <f>_xlfn.IFNA(VLOOKUP($A147,[1]IRESS!$A$11:$AE$696,21,FALSE)/100,"n/a")</f>
        <v>13.8</v>
      </c>
      <c r="T147" s="32">
        <f>_xlfn.IFNA(VLOOKUP($A147,[1]IRESS!$A$11:$AE$696,22,FALSE)/100,"n/a")</f>
        <v>11.74</v>
      </c>
      <c r="V147" s="34">
        <f>IFERROR((VLOOKUP($A147,[1]IRESS!$A$11:$AE$696,20,FALSE)/100)/R147,"n/a")</f>
        <v>8.6360301109350238E-2</v>
      </c>
      <c r="W147" s="35">
        <f>IFERROR(VLOOKUP($A147,[1]Morningstar!$A$2:$F$477,3,FALSE),"n/a")</f>
        <v>2.46E-2</v>
      </c>
      <c r="X147" s="34">
        <f>IFERROR(VLOOKUP($A147,[1]Morningstar!$A$2:$F$477,4,FALSE),"n/a")</f>
        <v>0.1273</v>
      </c>
      <c r="Y147" s="35">
        <f>IFERROR(VLOOKUP($A147,[1]Morningstar!$A$2:$F$477,5,FALSE),"n/a")</f>
        <v>9.4399999999999998E-2</v>
      </c>
      <c r="Z147" s="34">
        <f>IFERROR(VLOOKUP($A147,[1]Morningstar!$A$2:$F$477,6,FALSE),"n/a")</f>
        <v>0.11559999999999999</v>
      </c>
    </row>
    <row r="148" spans="1:26">
      <c r="A148" s="21" t="s">
        <v>164</v>
      </c>
      <c r="B148" s="22" t="s">
        <v>28</v>
      </c>
      <c r="C148" s="46" t="str">
        <f>VLOOKUP(A148,'[1]ETF List'!$A$3:$B$185,2,FALSE)</f>
        <v>Vanguard Australian Property Securities Index ETF</v>
      </c>
      <c r="D148" s="24"/>
      <c r="E148" s="7"/>
      <c r="F148" s="25">
        <f>_xlfn.IFNA(VLOOKUP(A148,'[1]ETF List'!$A$2:$I$180,6,FALSE),"n/a")</f>
        <v>0.23</v>
      </c>
      <c r="G148" s="26">
        <f>_xlfn.IFNA(VLOOKUP(A148,'[1]ETF List'!$A$2:$J$180,8,FALSE)/1000000,"n/a")</f>
        <v>1024.3338527000001</v>
      </c>
      <c r="H148" s="25">
        <f>_xlfn.IFNA(VLOOKUP(A148,'[1]ETF List'!$A$2:$N$180,14,FALSE)/1000000,"n/a")</f>
        <v>-12.331282899999977</v>
      </c>
      <c r="I148" s="26">
        <f>_xlfn.IFNA(VLOOKUP(A148,'[1]ETF List'!$A:$R,18,FALSE)/1000000,"n/a")</f>
        <v>13.64840298</v>
      </c>
      <c r="J148" s="27">
        <f>_xlfn.IFNA(VLOOKUP(A148,[1]IRESS!$A$10:$F$875,5,FALSE),"n/a")</f>
        <v>52868595.245000005</v>
      </c>
      <c r="K148" s="28">
        <f>_xlfn.IFNA(VLOOKUP(A148,[1]IRESS!$A$11:$G$684,7,FALSE),"n/a")</f>
        <v>669877.11400509381</v>
      </c>
      <c r="L148" s="27">
        <f>_xlfn.IFNA(VLOOKUP(A148,[1]IRESS!$A$10:$F$875,4,FALSE),"n/a")</f>
        <v>3023</v>
      </c>
      <c r="M148" s="29">
        <f t="shared" si="2"/>
        <v>5.1612660370098887E-2</v>
      </c>
      <c r="N148" s="30">
        <f>_xlfn.IFNA(VLOOKUP(A148,[1]Spreads!$A$1:$G$279,2,FALSE),"n/a")</f>
        <v>8.5637086862332601E-4</v>
      </c>
      <c r="O148" s="28">
        <f>IFERROR(VLOOKUP(A148,[1]Spreads!$A$1:$G$279,5,FALSE)/1000,"n/a")</f>
        <v>836.00390267600903</v>
      </c>
      <c r="P148" s="31">
        <f>IFERROR(VLOOKUP(A148,[1]Spreads!$A$1:$G$279,6,FALSE)/1000,"n/a")</f>
        <v>1437.9105320946501</v>
      </c>
      <c r="Q148" s="9"/>
      <c r="R148" s="32">
        <f>_xlfn.IFNA(VLOOKUP($A148,[1]IRESS!$A$11:$AE$696,6,FALSE)/100,"n/a")</f>
        <v>80.14</v>
      </c>
      <c r="S148" s="33">
        <f>_xlfn.IFNA(VLOOKUP($A148,[1]IRESS!$A$11:$AE$696,21,FALSE)/100,"n/a")</f>
        <v>82.317421111464498</v>
      </c>
      <c r="T148" s="32">
        <f>_xlfn.IFNA(VLOOKUP($A148,[1]IRESS!$A$11:$AE$696,22,FALSE)/100,"n/a")</f>
        <v>69.816982752084726</v>
      </c>
      <c r="V148" s="34">
        <f>IFERROR((VLOOKUP($A148,[1]IRESS!$A$11:$AE$696,20,FALSE)/100)/R148,"n/a")</f>
        <v>2.8493648614923883E-2</v>
      </c>
      <c r="W148" s="35">
        <f>IFERROR(VLOOKUP($A148,[1]Morningstar!$A$2:$F$477,3,FALSE),"n/a")</f>
        <v>-3.15E-2</v>
      </c>
      <c r="X148" s="34">
        <f>IFERROR(VLOOKUP($A148,[1]Morningstar!$A$2:$F$477,4,FALSE),"n/a")</f>
        <v>0.1285</v>
      </c>
      <c r="Y148" s="35">
        <f>IFERROR(VLOOKUP($A148,[1]Morningstar!$A$2:$F$477,5,FALSE),"n/a")</f>
        <v>9.9199999999999997E-2</v>
      </c>
      <c r="Z148" s="34">
        <f>IFERROR(VLOOKUP($A148,[1]Morningstar!$A$2:$F$477,6,FALSE),"n/a")</f>
        <v>0.1181</v>
      </c>
    </row>
    <row r="149" spans="1:26" s="36" customFormat="1">
      <c r="A149" s="37" t="s">
        <v>165</v>
      </c>
      <c r="B149" s="38"/>
      <c r="C149" s="38"/>
      <c r="D149" s="38"/>
      <c r="E149" s="7"/>
      <c r="F149" s="39"/>
      <c r="G149" s="39"/>
      <c r="H149" s="39"/>
      <c r="I149" s="39"/>
      <c r="J149" s="39"/>
      <c r="K149" s="39"/>
      <c r="L149" s="39"/>
      <c r="M149" s="40"/>
      <c r="N149" s="40"/>
      <c r="O149" s="39"/>
      <c r="P149" s="41"/>
      <c r="Q149" s="9"/>
      <c r="R149" s="42"/>
      <c r="S149" s="42"/>
      <c r="T149" s="42"/>
      <c r="U149" s="7"/>
      <c r="V149" s="43"/>
      <c r="W149" s="44"/>
      <c r="X149" s="44"/>
      <c r="Y149" s="44"/>
      <c r="Z149" s="38"/>
    </row>
    <row r="150" spans="1:26">
      <c r="A150" s="21" t="s">
        <v>166</v>
      </c>
      <c r="B150" s="22" t="s">
        <v>28</v>
      </c>
      <c r="C150" s="46" t="str">
        <f>VLOOKUP(A150,'[1]ETF List'!$A$3:$B$185,2,FALSE)</f>
        <v>SPDR Dow Jones Global Select Real Estate Fund</v>
      </c>
      <c r="D150" s="24"/>
      <c r="E150" s="7"/>
      <c r="F150" s="25">
        <f>_xlfn.IFNA(VLOOKUP(A150,'[1]ETF List'!$A$2:$I$180,6,FALSE),"n/a")</f>
        <v>0.5</v>
      </c>
      <c r="G150" s="26">
        <f>_xlfn.IFNA(VLOOKUP(A150,'[1]ETF List'!$A$2:$J$180,8,FALSE)/1000000,"n/a")</f>
        <v>242.48281839999999</v>
      </c>
      <c r="H150" s="25">
        <f>_xlfn.IFNA(VLOOKUP(A150,'[1]ETF List'!$A$2:$N$180,14,FALSE)/1000000,"n/a")</f>
        <v>6.3408343999999763</v>
      </c>
      <c r="I150" s="26">
        <f>_xlfn.IFNA(VLOOKUP(A150,'[1]ETF List'!$A:$R,18,FALSE)/1000000,"n/a")</f>
        <v>3.1619999999999995</v>
      </c>
      <c r="J150" s="27">
        <f>_xlfn.IFNA(VLOOKUP(A150,[1]IRESS!$A$10:$F$875,5,FALSE),"n/a")</f>
        <v>10722677.814999999</v>
      </c>
      <c r="K150" s="28">
        <f>_xlfn.IFNA(VLOOKUP(A150,[1]IRESS!$A$11:$G$684,7,FALSE),"n/a")</f>
        <v>507463</v>
      </c>
      <c r="L150" s="27">
        <f>_xlfn.IFNA(VLOOKUP(A150,[1]IRESS!$A$10:$F$875,4,FALSE),"n/a")</f>
        <v>915</v>
      </c>
      <c r="M150" s="29">
        <f t="shared" si="2"/>
        <v>4.4220361202301169E-2</v>
      </c>
      <c r="N150" s="30">
        <f>_xlfn.IFNA(VLOOKUP(A150,[1]Spreads!$A$1:$G$279,2,FALSE),"n/a")</f>
        <v>1.6168966499491599E-3</v>
      </c>
      <c r="O150" s="28">
        <f>IFERROR(VLOOKUP(A150,[1]Spreads!$A$1:$G$279,5,FALSE)/1000,"n/a")</f>
        <v>648.91879965207102</v>
      </c>
      <c r="P150" s="31">
        <f>IFERROR(VLOOKUP(A150,[1]Spreads!$A$1:$G$279,6,FALSE)/1000,"n/a")</f>
        <v>890.22429210376799</v>
      </c>
      <c r="Q150" s="9"/>
      <c r="R150" s="32">
        <f>_xlfn.IFNA(VLOOKUP($A150,[1]IRESS!$A$11:$AE$696,6,FALSE)/100,"n/a")</f>
        <v>21.08</v>
      </c>
      <c r="S150" s="33">
        <f>_xlfn.IFNA(VLOOKUP($A150,[1]IRESS!$A$11:$AE$696,21,FALSE)/100,"n/a")</f>
        <v>21.62</v>
      </c>
      <c r="T150" s="32">
        <f>_xlfn.IFNA(VLOOKUP($A150,[1]IRESS!$A$11:$AE$696,22,FALSE)/100,"n/a")</f>
        <v>18.45</v>
      </c>
      <c r="V150" s="34">
        <f>IFERROR((VLOOKUP($A150,[1]IRESS!$A$11:$AE$696,20,FALSE)/100)/R150,"n/a")</f>
        <v>2.9231166982922201E-2</v>
      </c>
      <c r="W150" s="35">
        <f>IFERROR(VLOOKUP($A150,[1]Morningstar!$A$2:$F$477,3,FALSE),"n/a")</f>
        <v>3.9399999999999998E-2</v>
      </c>
      <c r="X150" s="34">
        <f>IFERROR(VLOOKUP($A150,[1]Morningstar!$A$2:$F$477,4,FALSE),"n/a")</f>
        <v>7.4999999999999997E-2</v>
      </c>
      <c r="Y150" s="35">
        <f>IFERROR(VLOOKUP($A150,[1]Morningstar!$A$2:$F$477,5,FALSE),"n/a")</f>
        <v>5.57E-2</v>
      </c>
      <c r="Z150" s="34" t="str">
        <f>IFERROR(VLOOKUP($A150,[1]Morningstar!$A$2:$F$477,6,FALSE),"n/a")</f>
        <v>n/a</v>
      </c>
    </row>
    <row r="151" spans="1:26">
      <c r="A151" s="21" t="s">
        <v>167</v>
      </c>
      <c r="B151" s="22" t="s">
        <v>43</v>
      </c>
      <c r="C151" s="46" t="str">
        <f>VLOOKUP(A151,'[1]ETF List'!$A$3:$B$185,2,FALSE)</f>
        <v>AMP Capital Global Property Securities Fund (Unhedged) (Managed Fund)</v>
      </c>
      <c r="D151" s="24"/>
      <c r="E151" s="7"/>
      <c r="F151" s="25">
        <f>_xlfn.IFNA(VLOOKUP(A151,'[1]ETF List'!$A$2:$I$180,6,FALSE),"n/a")</f>
        <v>0.9900000000000001</v>
      </c>
      <c r="G151" s="26">
        <f>_xlfn.IFNA(VLOOKUP(A151,'[1]ETF List'!$A$2:$J$180,8,FALSE)/1000000,"n/a")</f>
        <v>14.929714800000001</v>
      </c>
      <c r="H151" s="25">
        <f>_xlfn.IFNA(VLOOKUP(A151,'[1]ETF List'!$A$2:$N$180,14,FALSE)/1000000,"n/a")</f>
        <v>0.63008748000000048</v>
      </c>
      <c r="I151" s="26">
        <f>_xlfn.IFNA(VLOOKUP(A151,'[1]ETF List'!$A:$R,18,FALSE)/1000000,"n/a")</f>
        <v>0.16124723999999999</v>
      </c>
      <c r="J151" s="27">
        <f>_xlfn.IFNA(VLOOKUP(A151,[1]IRESS!$A$10:$F$875,5,FALSE),"n/a")</f>
        <v>393258.45999999996</v>
      </c>
      <c r="K151" s="28">
        <f>_xlfn.IFNA(VLOOKUP(A151,[1]IRESS!$A$11:$G$684,7,FALSE),"n/a")</f>
        <v>158441</v>
      </c>
      <c r="L151" s="27">
        <f>_xlfn.IFNA(VLOOKUP(A151,[1]IRESS!$A$10:$F$875,4,FALSE),"n/a")</f>
        <v>13</v>
      </c>
      <c r="M151" s="29">
        <f t="shared" si="2"/>
        <v>2.6340654544854396E-2</v>
      </c>
      <c r="N151" s="30">
        <f>_xlfn.IFNA(VLOOKUP(A151,[1]Spreads!$A$1:$G$279,2,FALSE),"n/a")</f>
        <v>7.6441487180706506E-3</v>
      </c>
      <c r="O151" s="28">
        <f>IFERROR(VLOOKUP(A151,[1]Spreads!$A$1:$G$279,5,FALSE)/1000,"n/a")</f>
        <v>736.380235370896</v>
      </c>
      <c r="P151" s="31">
        <f>IFERROR(VLOOKUP(A151,[1]Spreads!$A$1:$G$279,6,FALSE)/1000,"n/a")</f>
        <v>749.36091161508693</v>
      </c>
      <c r="Q151" s="9"/>
      <c r="R151" s="32">
        <f>_xlfn.IFNA(VLOOKUP($A151,[1]IRESS!$A$11:$AE$696,6,FALSE)/100,"n/a")</f>
        <v>2.52</v>
      </c>
      <c r="S151" s="33">
        <f>_xlfn.IFNA(VLOOKUP($A151,[1]IRESS!$A$11:$AE$696,21,FALSE)/100,"n/a")</f>
        <v>2.5299999999999998</v>
      </c>
      <c r="T151" s="32">
        <f>_xlfn.IFNA(VLOOKUP($A151,[1]IRESS!$A$11:$AE$696,22,FALSE)/100,"n/a")</f>
        <v>2.19</v>
      </c>
      <c r="V151" s="34">
        <f>IFERROR((VLOOKUP($A151,[1]IRESS!$A$11:$AE$696,20,FALSE)/100)/R151,"n/a")</f>
        <v>1.3761507936507936E-2</v>
      </c>
      <c r="W151" s="35">
        <f>IFERROR(VLOOKUP($A151,[1]Morningstar!$A$2:$F$477,3,FALSE),"n/a")</f>
        <v>4.1200000000000001E-2</v>
      </c>
      <c r="X151" s="34">
        <f>IFERROR(VLOOKUP($A151,[1]Morningstar!$A$2:$F$477,4,FALSE),"n/a")</f>
        <v>9.8299999999999998E-2</v>
      </c>
      <c r="Y151" s="35" t="str">
        <f>IFERROR(VLOOKUP($A151,[1]Morningstar!$A$2:$F$477,5,FALSE),"n/a")</f>
        <v>n/a</v>
      </c>
      <c r="Z151" s="34" t="str">
        <f>IFERROR(VLOOKUP($A151,[1]Morningstar!$A$2:$F$477,6,FALSE),"n/a")</f>
        <v>n/a</v>
      </c>
    </row>
    <row r="152" spans="1:26">
      <c r="A152" s="37" t="s">
        <v>168</v>
      </c>
      <c r="B152" s="38"/>
      <c r="C152" s="38"/>
      <c r="D152" s="38"/>
      <c r="E152" s="7"/>
      <c r="F152" s="39"/>
      <c r="G152" s="39"/>
      <c r="H152" s="39"/>
      <c r="I152" s="39"/>
      <c r="J152" s="39"/>
      <c r="K152" s="39"/>
      <c r="L152" s="39"/>
      <c r="M152" s="40"/>
      <c r="N152" s="40"/>
      <c r="O152" s="39"/>
      <c r="P152" s="41"/>
      <c r="Q152" s="9"/>
      <c r="R152" s="42"/>
      <c r="S152" s="42"/>
      <c r="T152" s="42"/>
      <c r="V152" s="43"/>
      <c r="W152" s="44"/>
      <c r="X152" s="44"/>
      <c r="Y152" s="44"/>
      <c r="Z152" s="38"/>
    </row>
    <row r="153" spans="1:26">
      <c r="A153" s="21" t="s">
        <v>169</v>
      </c>
      <c r="B153" s="22" t="s">
        <v>28</v>
      </c>
      <c r="C153" s="23" t="str">
        <f>VLOOKUP(A153,'[1]ETF List'!$A$3:$B$185,2,FALSE)</f>
        <v>Betashares Australian High Interest Cash ETF</v>
      </c>
      <c r="D153" s="24"/>
      <c r="E153" s="7"/>
      <c r="F153" s="25">
        <f>_xlfn.IFNA(VLOOKUP(A153,'[1]ETF List'!$A$2:$I$180,6,FALSE),"n/a")</f>
        <v>0.18</v>
      </c>
      <c r="G153" s="26">
        <f>_xlfn.IFNA(VLOOKUP(A153,'[1]ETF List'!$A$2:$J$180,8,FALSE)/1000000,"n/a")</f>
        <v>1310.7231081</v>
      </c>
      <c r="H153" s="25">
        <f>_xlfn.IFNA(VLOOKUP(A153,'[1]ETF List'!$A$2:$N$180,14,FALSE)/1000000,"n/a")</f>
        <v>22.980124980000021</v>
      </c>
      <c r="I153" s="26">
        <f>_xlfn.IFNA(VLOOKUP(A153,'[1]ETF List'!$A:$R,18,FALSE)/1000000,"n/a")</f>
        <v>23.23685205</v>
      </c>
      <c r="J153" s="27">
        <f>_xlfn.IFNA(VLOOKUP(A153,[1]IRESS!$A$10:$F$875,5,FALSE),"n/a")</f>
        <v>240563708.22999996</v>
      </c>
      <c r="K153" s="28">
        <f>_xlfn.IFNA(VLOOKUP(A153,[1]IRESS!$A$11:$G$684,7,FALSE),"n/a")</f>
        <v>4799627</v>
      </c>
      <c r="L153" s="27">
        <f>_xlfn.IFNA(VLOOKUP(A153,[1]IRESS!$A$10:$F$875,4,FALSE),"n/a")</f>
        <v>2015</v>
      </c>
      <c r="M153" s="29">
        <f t="shared" si="2"/>
        <v>0.1835351087833621</v>
      </c>
      <c r="N153" s="30">
        <f>_xlfn.IFNA(VLOOKUP(A153,[1]Spreads!$A$1:$G$279,2,FALSE),"n/a")</f>
        <v>1.9970280166510299E-4</v>
      </c>
      <c r="O153" s="28">
        <f>IFERROR(VLOOKUP(A153,[1]Spreads!$A$1:$G$279,5,FALSE)/1000,"n/a")</f>
        <v>43867.286418491494</v>
      </c>
      <c r="P153" s="31">
        <f>IFERROR(VLOOKUP(A153,[1]Spreads!$A$1:$G$279,6,FALSE)/1000,"n/a")</f>
        <v>79041.770037762486</v>
      </c>
      <c r="Q153" s="9"/>
      <c r="R153" s="32">
        <f>_xlfn.IFNA(VLOOKUP($A153,[1]IRESS!$A$11:$AE$696,6,FALSE)/100,"n/a")</f>
        <v>50.15</v>
      </c>
      <c r="S153" s="33">
        <f>_xlfn.IFNA(VLOOKUP($A153,[1]IRESS!$A$11:$AE$696,21,FALSE)/100,"n/a")</f>
        <v>50.17</v>
      </c>
      <c r="T153" s="32">
        <f>_xlfn.IFNA(VLOOKUP($A153,[1]IRESS!$A$11:$AE$696,22,FALSE)/100,"n/a")</f>
        <v>50.07</v>
      </c>
      <c r="V153" s="34">
        <f>IFERROR((VLOOKUP($A153,[1]IRESS!$A$11:$AE$696,20,FALSE)/100)/R153,"n/a")</f>
        <v>2.0161674975074775E-2</v>
      </c>
      <c r="W153" s="35">
        <f>IFERROR(VLOOKUP($A153,[1]Morningstar!$A$2:$F$477,3,FALSE),"n/a")</f>
        <v>1.6999999999999999E-3</v>
      </c>
      <c r="X153" s="34">
        <f>IFERROR(VLOOKUP($A153,[1]Morningstar!$A$2:$F$477,4,FALSE),"n/a")</f>
        <v>1.9900000000000001E-2</v>
      </c>
      <c r="Y153" s="35">
        <f>IFERROR(VLOOKUP($A153,[1]Morningstar!$A$2:$F$477,5,FALSE),"n/a")</f>
        <v>2.1999999999999999E-2</v>
      </c>
      <c r="Z153" s="34">
        <f>IFERROR(VLOOKUP($A153,[1]Morningstar!$A$2:$F$477,6,FALSE),"n/a")</f>
        <v>2.63E-2</v>
      </c>
    </row>
    <row r="154" spans="1:26">
      <c r="A154" s="21" t="s">
        <v>170</v>
      </c>
      <c r="B154" s="22" t="s">
        <v>28</v>
      </c>
      <c r="C154" s="23" t="str">
        <f>VLOOKUP(A154,'[1]ETF List'!$A$3:$B$185,2,FALSE)</f>
        <v>iShares Core Cash ETF</v>
      </c>
      <c r="D154" s="24"/>
      <c r="E154" s="7"/>
      <c r="F154" s="25">
        <f>_xlfn.IFNA(VLOOKUP(A154,'[1]ETF List'!$A$2:$I$180,6,FALSE),"n/a")</f>
        <v>7.0000000000000007E-2</v>
      </c>
      <c r="G154" s="26">
        <f>_xlfn.IFNA(VLOOKUP(A154,'[1]ETF List'!$A$2:$J$180,8,FALSE)/1000000,"n/a")</f>
        <v>197.03803021000002</v>
      </c>
      <c r="H154" s="25">
        <f>_xlfn.IFNA(VLOOKUP(A154,'[1]ETF List'!$A$2:$N$180,14,FALSE)/1000000,"n/a")</f>
        <v>6.0007609300000073</v>
      </c>
      <c r="I154" s="26">
        <f>_xlfn.IFNA(VLOOKUP(A154,'[1]ETF List'!$A:$R,18,FALSE)/1000000,"n/a")</f>
        <v>6.0198037199999765</v>
      </c>
      <c r="J154" s="27">
        <f>_xlfn.IFNA(VLOOKUP(A154,[1]IRESS!$A$10:$F$875,5,FALSE),"n/a")</f>
        <v>10978012.140000004</v>
      </c>
      <c r="K154" s="28">
        <f>_xlfn.IFNA(VLOOKUP(A154,[1]IRESS!$A$11:$G$684,7,FALSE),"n/a")</f>
        <v>109517</v>
      </c>
      <c r="L154" s="27">
        <f>_xlfn.IFNA(VLOOKUP(A154,[1]IRESS!$A$10:$F$875,4,FALSE),"n/a")</f>
        <v>550</v>
      </c>
      <c r="M154" s="29">
        <f t="shared" si="2"/>
        <v>5.5715194311980347E-2</v>
      </c>
      <c r="N154" s="30">
        <f>_xlfn.IFNA(VLOOKUP(A154,[1]Spreads!$A$1:$G$279,2,FALSE),"n/a")</f>
        <v>1.2677867497882102E-4</v>
      </c>
      <c r="O154" s="28">
        <f>IFERROR(VLOOKUP(A154,[1]Spreads!$A$1:$G$279,5,FALSE)/1000,"n/a")</f>
        <v>1022.00868231969</v>
      </c>
      <c r="P154" s="31">
        <f>IFERROR(VLOOKUP(A154,[1]Spreads!$A$1:$G$279,6,FALSE)/1000,"n/a")</f>
        <v>997.45864581025694</v>
      </c>
      <c r="Q154" s="9"/>
      <c r="R154" s="32">
        <f>_xlfn.IFNA(VLOOKUP($A154,[1]IRESS!$A$11:$AE$696,6,FALSE)/100,"n/a")</f>
        <v>100.31</v>
      </c>
      <c r="S154" s="33">
        <f>_xlfn.IFNA(VLOOKUP($A154,[1]IRESS!$A$11:$AE$696,21,FALSE)/100,"n/a")</f>
        <v>100.34</v>
      </c>
      <c r="T154" s="32">
        <f>_xlfn.IFNA(VLOOKUP($A154,[1]IRESS!$A$11:$AE$696,22,FALSE)/100,"n/a")</f>
        <v>100.06</v>
      </c>
      <c r="V154" s="34">
        <f>IFERROR((VLOOKUP($A154,[1]IRESS!$A$11:$AE$696,20,FALSE)/100)/R154,"n/a")</f>
        <v>1.5045189911275047E-2</v>
      </c>
      <c r="W154" s="35">
        <f>IFERROR(VLOOKUP($A154,[1]Morningstar!$A$2:$F$477,3,FALSE),"n/a")</f>
        <v>1.6000000000000001E-3</v>
      </c>
      <c r="X154" s="34">
        <f>IFERROR(VLOOKUP($A154,[1]Morningstar!$A$2:$F$477,4,FALSE),"n/a")</f>
        <v>1.8200000000000001E-2</v>
      </c>
      <c r="Y154" s="35" t="str">
        <f>IFERROR(VLOOKUP($A154,[1]Morningstar!$A$2:$F$477,5,FALSE),"n/a")</f>
        <v>n/a</v>
      </c>
      <c r="Z154" s="34" t="str">
        <f>IFERROR(VLOOKUP($A154,[1]Morningstar!$A$2:$F$477,6,FALSE),"n/a")</f>
        <v>n/a</v>
      </c>
    </row>
    <row r="155" spans="1:26">
      <c r="A155" s="21" t="s">
        <v>171</v>
      </c>
      <c r="B155" s="22" t="s">
        <v>28</v>
      </c>
      <c r="C155" s="23" t="str">
        <f>VLOOKUP(A155,'[1]ETF List'!$A$3:$B$185,2,FALSE)</f>
        <v>SPDR S&amp;P/ASX Australian Bond Fund</v>
      </c>
      <c r="D155" s="24"/>
      <c r="E155" s="7"/>
      <c r="F155" s="25">
        <f>_xlfn.IFNA(VLOOKUP(A155,'[1]ETF List'!$A$2:$I$180,6,FALSE),"n/a")</f>
        <v>0.24</v>
      </c>
      <c r="G155" s="26">
        <f>_xlfn.IFNA(VLOOKUP(A155,'[1]ETF List'!$A$2:$J$180,8,FALSE)/1000000,"n/a")</f>
        <v>23.482829880000001</v>
      </c>
      <c r="H155" s="25">
        <f>_xlfn.IFNA(VLOOKUP(A155,'[1]ETF List'!$A$2:$N$180,14,FALSE)/1000000,"n/a")</f>
        <v>-7.3269359999999409E-2</v>
      </c>
      <c r="I155" s="26">
        <f>_xlfn.IFNA(VLOOKUP(A155,'[1]ETF List'!$A:$R,18,FALSE)/1000000,"n/a")</f>
        <v>-2.9848888516426089E-15</v>
      </c>
      <c r="J155" s="27">
        <f>_xlfn.IFNA(VLOOKUP(A155,[1]IRESS!$A$10:$F$875,5,FALSE),"n/a")</f>
        <v>1302209.4399999997</v>
      </c>
      <c r="K155" s="28">
        <f>_xlfn.IFNA(VLOOKUP(A155,[1]IRESS!$A$11:$G$684,7,FALSE),"n/a")</f>
        <v>50810</v>
      </c>
      <c r="L155" s="27">
        <f>_xlfn.IFNA(VLOOKUP(A155,[1]IRESS!$A$10:$F$875,4,FALSE),"n/a")</f>
        <v>40</v>
      </c>
      <c r="M155" s="29">
        <f t="shared" si="2"/>
        <v>5.54536845284168E-2</v>
      </c>
      <c r="N155" s="30">
        <f>_xlfn.IFNA(VLOOKUP(A155,[1]Spreads!$A$1:$G$279,2,FALSE),"n/a")</f>
        <v>1.29818519681567E-3</v>
      </c>
      <c r="O155" s="28">
        <f>IFERROR(VLOOKUP(A155,[1]Spreads!$A$1:$G$279,5,FALSE)/1000,"n/a")</f>
        <v>999.34962036398804</v>
      </c>
      <c r="P155" s="31">
        <f>IFERROR(VLOOKUP(A155,[1]Spreads!$A$1:$G$279,6,FALSE)/1000,"n/a")</f>
        <v>740.81745884095301</v>
      </c>
      <c r="Q155" s="9"/>
      <c r="R155" s="32">
        <f>_xlfn.IFNA(VLOOKUP($A155,[1]IRESS!$A$11:$AE$696,6,FALSE)/100,"n/a")</f>
        <v>25.64</v>
      </c>
      <c r="S155" s="33">
        <f>_xlfn.IFNA(VLOOKUP($A155,[1]IRESS!$A$11:$AE$696,21,FALSE)/100,"n/a")</f>
        <v>25.96</v>
      </c>
      <c r="T155" s="32">
        <f>_xlfn.IFNA(VLOOKUP($A155,[1]IRESS!$A$11:$AE$696,22,FALSE)/100,"n/a")</f>
        <v>25.36</v>
      </c>
      <c r="V155" s="34">
        <f>IFERROR((VLOOKUP($A155,[1]IRESS!$A$11:$AE$696,20,FALSE)/100)/R155,"n/a")</f>
        <v>2.5602964118564744E-2</v>
      </c>
      <c r="W155" s="35">
        <f>IFERROR(VLOOKUP($A155,[1]Morningstar!$A$2:$F$477,3,FALSE),"n/a")</f>
        <v>6.1999999999999998E-3</v>
      </c>
      <c r="X155" s="34">
        <f>IFERROR(VLOOKUP($A155,[1]Morningstar!$A$2:$F$477,4,FALSE),"n/a")</f>
        <v>2.5700000000000001E-2</v>
      </c>
      <c r="Y155" s="35">
        <f>IFERROR(VLOOKUP($A155,[1]Morningstar!$A$2:$F$477,5,FALSE),"n/a")</f>
        <v>2.93E-2</v>
      </c>
      <c r="Z155" s="34">
        <f>IFERROR(VLOOKUP($A155,[1]Morningstar!$A$2:$F$477,6,FALSE),"n/a")</f>
        <v>4.19E-2</v>
      </c>
    </row>
    <row r="156" spans="1:26">
      <c r="A156" s="21" t="s">
        <v>172</v>
      </c>
      <c r="B156" s="22" t="s">
        <v>28</v>
      </c>
      <c r="C156" s="23" t="str">
        <f>VLOOKUP(A156,'[1]ETF List'!$A$3:$B$185,2,FALSE)</f>
        <v>BetaShares Australian Investment Grade Bond ETF</v>
      </c>
      <c r="D156" s="24"/>
      <c r="E156" s="7"/>
      <c r="F156" s="25">
        <f>_xlfn.IFNA(VLOOKUP(A156,'[1]ETF List'!$A$2:$I$180,6,FALSE),"n/a")</f>
        <v>0.25</v>
      </c>
      <c r="G156" s="26">
        <f>_xlfn.IFNA(VLOOKUP(A156,'[1]ETF List'!$A$2:$J$180,8,FALSE)/1000000,"n/a")</f>
        <v>4.0224000000000002</v>
      </c>
      <c r="H156" s="25">
        <f>_xlfn.IFNA(VLOOKUP(A156,'[1]ETF List'!$A$2:$N$180,14,FALSE)/1000000,"n/a")</f>
        <v>4.0224000000000002</v>
      </c>
      <c r="I156" s="26">
        <f>_xlfn.IFNA(VLOOKUP(A156,'[1]ETF List'!$A:$R,18,FALSE)/1000000,"n/a")</f>
        <v>4.0224000000000002</v>
      </c>
      <c r="J156" s="27">
        <f>_xlfn.IFNA(VLOOKUP(A156,[1]IRESS!$A$10:$F$875,5,FALSE),"n/a")</f>
        <v>1971305.8099999998</v>
      </c>
      <c r="K156" s="28">
        <f>_xlfn.IFNA(VLOOKUP(A156,[1]IRESS!$A$11:$G$684,7,FALSE),"n/a")</f>
        <v>78695</v>
      </c>
      <c r="L156" s="27">
        <f>_xlfn.IFNA(VLOOKUP(A156,[1]IRESS!$A$10:$F$875,4,FALSE),"n/a")</f>
        <v>74</v>
      </c>
      <c r="M156" s="29">
        <f t="shared" si="2"/>
        <v>0.49008199333731101</v>
      </c>
      <c r="N156" s="30">
        <f>_xlfn.IFNA(VLOOKUP(A156,[1]Spreads!$A$1:$G$279,2,FALSE),"n/a")</f>
        <v>1.5387710449706702E-3</v>
      </c>
      <c r="O156" s="28">
        <f>IFERROR(VLOOKUP(A156,[1]Spreads!$A$1:$G$279,5,FALSE)/1000,"n/a")</f>
        <v>794.5865843727729</v>
      </c>
      <c r="P156" s="31">
        <f>IFERROR(VLOOKUP(A156,[1]Spreads!$A$1:$G$279,6,FALSE)/1000,"n/a")</f>
        <v>723.96523313953992</v>
      </c>
      <c r="Q156" s="9"/>
      <c r="R156" s="32">
        <f>_xlfn.IFNA(VLOOKUP($A156,[1]IRESS!$A$11:$AE$696,6,FALSE)/100,"n/a")</f>
        <v>25.15</v>
      </c>
      <c r="S156" s="33">
        <f>_xlfn.IFNA(VLOOKUP($A156,[1]IRESS!$A$11:$AE$696,21,FALSE)/100,"n/a")</f>
        <v>25.2</v>
      </c>
      <c r="T156" s="32">
        <f>_xlfn.IFNA(VLOOKUP($A156,[1]IRESS!$A$11:$AE$696,22,FALSE)/100,"n/a")</f>
        <v>24.84</v>
      </c>
      <c r="V156" s="34">
        <f>IFERROR((VLOOKUP($A156,[1]IRESS!$A$11:$AE$696,20,FALSE)/100)/R156,"n/a")</f>
        <v>2.8968190854870776E-3</v>
      </c>
      <c r="W156" s="35" t="str">
        <f>IFERROR(VLOOKUP($A156,[1]Morningstar!$A$2:$F$477,3,FALSE),"n/a")</f>
        <v>n/a</v>
      </c>
      <c r="X156" s="34" t="str">
        <f>IFERROR(VLOOKUP($A156,[1]Morningstar!$A$2:$F$477,4,FALSE),"n/a")</f>
        <v>n/a</v>
      </c>
      <c r="Y156" s="35" t="str">
        <f>IFERROR(VLOOKUP($A156,[1]Morningstar!$A$2:$F$477,5,FALSE),"n/a")</f>
        <v>n/a</v>
      </c>
      <c r="Z156" s="34" t="str">
        <f>IFERROR(VLOOKUP($A156,[1]Morningstar!$A$2:$F$477,6,FALSE),"n/a")</f>
        <v>n/a</v>
      </c>
    </row>
    <row r="157" spans="1:26">
      <c r="A157" s="21" t="s">
        <v>173</v>
      </c>
      <c r="B157" s="22" t="s">
        <v>28</v>
      </c>
      <c r="C157" s="23" t="str">
        <f>VLOOKUP(A157,'[1]ETF List'!$A$3:$B$185,2,FALSE)</f>
        <v>VanEck Vectors Australian Floating Rate ETF</v>
      </c>
      <c r="D157" s="24"/>
      <c r="E157" s="7"/>
      <c r="F157" s="25">
        <f>_xlfn.IFNA(VLOOKUP(A157,'[1]ETF List'!$A$2:$I$180,6,FALSE),"n/a")</f>
        <v>0.22</v>
      </c>
      <c r="G157" s="26">
        <f>_xlfn.IFNA(VLOOKUP(A157,'[1]ETF List'!$A$2:$J$180,8,FALSE)/1000000,"n/a")</f>
        <v>85.280953559999986</v>
      </c>
      <c r="H157" s="25">
        <f>_xlfn.IFNA(VLOOKUP(A157,'[1]ETF List'!$A$2:$N$180,14,FALSE)/1000000,"n/a")</f>
        <v>3.9820774599999935</v>
      </c>
      <c r="I157" s="26">
        <f>_xlfn.IFNA(VLOOKUP(A157,'[1]ETF List'!$A:$R,18,FALSE)/1000000,"n/a")</f>
        <v>4.0144803599999879</v>
      </c>
      <c r="J157" s="27">
        <f>_xlfn.IFNA(VLOOKUP(A157,[1]IRESS!$A$10:$F$875,5,FALSE),"n/a")</f>
        <v>8974486.2949999999</v>
      </c>
      <c r="K157" s="28">
        <f>_xlfn.IFNA(VLOOKUP(A157,[1]IRESS!$A$11:$G$684,7,FALSE),"n/a")</f>
        <v>358199</v>
      </c>
      <c r="L157" s="27">
        <f>_xlfn.IFNA(VLOOKUP(A157,[1]IRESS!$A$10:$F$875,4,FALSE),"n/a")</f>
        <v>252</v>
      </c>
      <c r="M157" s="29">
        <f t="shared" si="2"/>
        <v>0.10523435679792136</v>
      </c>
      <c r="N157" s="30">
        <f>_xlfn.IFNA(VLOOKUP(A157,[1]Spreads!$A$1:$G$279,2,FALSE),"n/a")</f>
        <v>8.4695312003481695E-4</v>
      </c>
      <c r="O157" s="28">
        <f>IFERROR(VLOOKUP(A157,[1]Spreads!$A$1:$G$279,5,FALSE)/1000,"n/a")</f>
        <v>854.55859335009904</v>
      </c>
      <c r="P157" s="31">
        <f>IFERROR(VLOOKUP(A157,[1]Spreads!$A$1:$G$279,6,FALSE)/1000,"n/a")</f>
        <v>736.25277133768498</v>
      </c>
      <c r="Q157" s="9"/>
      <c r="R157" s="32">
        <f>_xlfn.IFNA(VLOOKUP($A157,[1]IRESS!$A$11:$AE$696,6,FALSE)/100,"n/a")</f>
        <v>25.08</v>
      </c>
      <c r="S157" s="33">
        <f>_xlfn.IFNA(VLOOKUP($A157,[1]IRESS!$A$11:$AE$696,21,FALSE)/100,"n/a")</f>
        <v>25.23</v>
      </c>
      <c r="T157" s="32">
        <f>_xlfn.IFNA(VLOOKUP($A157,[1]IRESS!$A$11:$AE$696,22,FALSE)/100,"n/a")</f>
        <v>25</v>
      </c>
      <c r="V157" s="34">
        <f>IFERROR((VLOOKUP($A157,[1]IRESS!$A$11:$AE$696,20,FALSE)/100)/R157,"n/a")</f>
        <v>2.4122807017543862E-2</v>
      </c>
      <c r="W157" s="35">
        <f>IFERROR(VLOOKUP($A157,[1]Morningstar!$A$2:$F$477,3,FALSE),"n/a")</f>
        <v>2.3E-3</v>
      </c>
      <c r="X157" s="34" t="str">
        <f>IFERROR(VLOOKUP($A157,[1]Morningstar!$A$2:$F$477,4,FALSE),"n/a")</f>
        <v>n/a</v>
      </c>
      <c r="Y157" s="35" t="str">
        <f>IFERROR(VLOOKUP($A157,[1]Morningstar!$A$2:$F$477,5,FALSE),"n/a")</f>
        <v>n/a</v>
      </c>
      <c r="Z157" s="34" t="str">
        <f>IFERROR(VLOOKUP($A157,[1]Morningstar!$A$2:$F$477,6,FALSE),"n/a")</f>
        <v>n/a</v>
      </c>
    </row>
    <row r="158" spans="1:26">
      <c r="A158" s="21" t="s">
        <v>174</v>
      </c>
      <c r="B158" s="22" t="s">
        <v>28</v>
      </c>
      <c r="C158" s="23" t="str">
        <f>VLOOKUP(A158,'[1]ETF List'!$A$3:$B$185,2,FALSE)</f>
        <v>SPDR S&amp;P/ASX Australian Government Bond Fund</v>
      </c>
      <c r="D158" s="24"/>
      <c r="E158" s="7"/>
      <c r="F158" s="25">
        <f>_xlfn.IFNA(VLOOKUP(A158,'[1]ETF List'!$A$2:$I$180,6,FALSE),"n/a")</f>
        <v>0.22</v>
      </c>
      <c r="G158" s="26">
        <f>_xlfn.IFNA(VLOOKUP(A158,'[1]ETF List'!$A$2:$J$180,8,FALSE)/1000000,"n/a")</f>
        <v>12.98044676</v>
      </c>
      <c r="H158" s="25">
        <f>_xlfn.IFNA(VLOOKUP(A158,'[1]ETF List'!$A$2:$N$180,14,FALSE)/1000000,"n/a")</f>
        <v>-1.0093660000000148E-2</v>
      </c>
      <c r="I158" s="26">
        <f>_xlfn.IFNA(VLOOKUP(A158,'[1]ETF List'!$A:$R,18,FALSE)/1000000,"n/a")</f>
        <v>0</v>
      </c>
      <c r="J158" s="27">
        <f>_xlfn.IFNA(VLOOKUP(A158,[1]IRESS!$A$10:$F$875,5,FALSE),"n/a")</f>
        <v>226595.02</v>
      </c>
      <c r="K158" s="28">
        <f>_xlfn.IFNA(VLOOKUP(A158,[1]IRESS!$A$11:$G$684,7,FALSE),"n/a")</f>
        <v>8820</v>
      </c>
      <c r="L158" s="27">
        <f>_xlfn.IFNA(VLOOKUP(A158,[1]IRESS!$A$10:$F$875,4,FALSE),"n/a")</f>
        <v>21</v>
      </c>
      <c r="M158" s="29">
        <f t="shared" si="2"/>
        <v>1.7456642609425872E-2</v>
      </c>
      <c r="N158" s="30">
        <f>_xlfn.IFNA(VLOOKUP(A158,[1]Spreads!$A$1:$G$279,2,FALSE),"n/a")</f>
        <v>1.6326892761978501E-3</v>
      </c>
      <c r="O158" s="28">
        <f>IFERROR(VLOOKUP(A158,[1]Spreads!$A$1:$G$279,5,FALSE)/1000,"n/a")</f>
        <v>828.03228447069705</v>
      </c>
      <c r="P158" s="31">
        <f>IFERROR(VLOOKUP(A158,[1]Spreads!$A$1:$G$279,6,FALSE)/1000,"n/a")</f>
        <v>624.13906207831099</v>
      </c>
      <c r="Q158" s="9"/>
      <c r="R158" s="32">
        <f>_xlfn.IFNA(VLOOKUP($A158,[1]IRESS!$A$11:$AE$696,6,FALSE)/100,"n/a")</f>
        <v>25.73</v>
      </c>
      <c r="S158" s="33">
        <f>_xlfn.IFNA(VLOOKUP($A158,[1]IRESS!$A$11:$AE$696,21,FALSE)/100,"n/a")</f>
        <v>25.91</v>
      </c>
      <c r="T158" s="32">
        <f>_xlfn.IFNA(VLOOKUP($A158,[1]IRESS!$A$11:$AE$696,22,FALSE)/100,"n/a")</f>
        <v>25.33</v>
      </c>
      <c r="V158" s="34">
        <f>IFERROR((VLOOKUP($A158,[1]IRESS!$A$11:$AE$696,20,FALSE)/100)/R158,"n/a")</f>
        <v>2.1408783521181501E-2</v>
      </c>
      <c r="W158" s="35">
        <f>IFERROR(VLOOKUP($A158,[1]Morningstar!$A$2:$F$477,3,FALSE),"n/a")</f>
        <v>1.44E-2</v>
      </c>
      <c r="X158" s="34">
        <f>IFERROR(VLOOKUP($A158,[1]Morningstar!$A$2:$F$477,4,FALSE),"n/a")</f>
        <v>3.1E-2</v>
      </c>
      <c r="Y158" s="35">
        <f>IFERROR(VLOOKUP($A158,[1]Morningstar!$A$2:$F$477,5,FALSE),"n/a")</f>
        <v>3.1699999999999999E-2</v>
      </c>
      <c r="Z158" s="34">
        <f>IFERROR(VLOOKUP($A158,[1]Morningstar!$A$2:$F$477,6,FALSE),"n/a")</f>
        <v>3.9699999999999999E-2</v>
      </c>
    </row>
    <row r="159" spans="1:26">
      <c r="A159" s="21" t="s">
        <v>175</v>
      </c>
      <c r="B159" s="22" t="s">
        <v>43</v>
      </c>
      <c r="C159" s="23" t="str">
        <f>VLOOKUP(A159,'[1]ETF List'!$A$3:$B$185,2,FALSE)</f>
        <v>BetaShares Active Australian Hybrids Fund</v>
      </c>
      <c r="D159" s="24"/>
      <c r="E159" s="7"/>
      <c r="F159" s="25">
        <f>_xlfn.IFNA(VLOOKUP(A159,'[1]ETF List'!$A$2:$I$180,6,FALSE),"n/a")</f>
        <v>0.55000000000000004</v>
      </c>
      <c r="G159" s="26">
        <f>_xlfn.IFNA(VLOOKUP(A159,'[1]ETF List'!$A$2:$J$180,8,FALSE)/1000000,"n/a")</f>
        <v>100.09836143999999</v>
      </c>
      <c r="H159" s="25">
        <f>_xlfn.IFNA(VLOOKUP(A159,'[1]ETF List'!$A$2:$N$180,14,FALSE)/1000000,"n/a")</f>
        <v>10.730026959999993</v>
      </c>
      <c r="I159" s="26">
        <f>_xlfn.IFNA(VLOOKUP(A159,'[1]ETF List'!$A:$R,18,FALSE)/1000000,"n/a")</f>
        <v>9.8264037599999998</v>
      </c>
      <c r="J159" s="27">
        <f>_xlfn.IFNA(VLOOKUP(A159,[1]IRESS!$A$10:$F$875,5,FALSE),"n/a")</f>
        <v>12253430.319999997</v>
      </c>
      <c r="K159" s="28">
        <f>_xlfn.IFNA(VLOOKUP(A159,[1]IRESS!$A$11:$G$684,7,FALSE),"n/a")</f>
        <v>1234033</v>
      </c>
      <c r="L159" s="27">
        <f>_xlfn.IFNA(VLOOKUP(A159,[1]IRESS!$A$10:$F$875,4,FALSE),"n/a")</f>
        <v>314</v>
      </c>
      <c r="M159" s="29">
        <f t="shared" si="2"/>
        <v>0.12241389512999003</v>
      </c>
      <c r="N159" s="30">
        <f>_xlfn.IFNA(VLOOKUP(A159,[1]Spreads!$A$1:$G$279,2,FALSE),"n/a")</f>
        <v>1.9443827777830399E-3</v>
      </c>
      <c r="O159" s="28">
        <f>IFERROR(VLOOKUP(A159,[1]Spreads!$A$1:$G$279,5,FALSE)/1000,"n/a")</f>
        <v>3080.2663046575099</v>
      </c>
      <c r="P159" s="31">
        <f>IFERROR(VLOOKUP(A159,[1]Spreads!$A$1:$G$279,6,FALSE)/1000,"n/a")</f>
        <v>3016.0803021199599</v>
      </c>
      <c r="Q159" s="9"/>
      <c r="R159" s="32">
        <f>_xlfn.IFNA(VLOOKUP($A159,[1]IRESS!$A$11:$AE$696,6,FALSE)/100,"n/a")</f>
        <v>9.99</v>
      </c>
      <c r="S159" s="33">
        <f>_xlfn.IFNA(VLOOKUP($A159,[1]IRESS!$A$11:$AE$696,21,FALSE)/100,"n/a")</f>
        <v>10.18</v>
      </c>
      <c r="T159" s="32">
        <f>_xlfn.IFNA(VLOOKUP($A159,[1]IRESS!$A$11:$AE$696,22,FALSE)/100,"n/a")</f>
        <v>9.83</v>
      </c>
      <c r="V159" s="34">
        <f>IFERROR((VLOOKUP($A159,[1]IRESS!$A$11:$AE$696,20,FALSE)/100)/R159,"n/a")</f>
        <v>2.3973173173173171E-2</v>
      </c>
      <c r="W159" s="35">
        <f>IFERROR(VLOOKUP($A159,[1]Morningstar!$A$2:$F$477,3,FALSE),"n/a")</f>
        <v>1.44E-2</v>
      </c>
      <c r="X159" s="34" t="str">
        <f>IFERROR(VLOOKUP($A159,[1]Morningstar!$A$2:$F$477,4,FALSE),"n/a")</f>
        <v>n/a</v>
      </c>
      <c r="Y159" s="35" t="str">
        <f>IFERROR(VLOOKUP($A159,[1]Morningstar!$A$2:$F$477,5,FALSE),"n/a")</f>
        <v>n/a</v>
      </c>
      <c r="Z159" s="34" t="str">
        <f>IFERROR(VLOOKUP($A159,[1]Morningstar!$A$2:$F$477,6,FALSE),"n/a")</f>
        <v>n/a</v>
      </c>
    </row>
    <row r="160" spans="1:26">
      <c r="A160" s="21" t="s">
        <v>176</v>
      </c>
      <c r="B160" s="22" t="s">
        <v>28</v>
      </c>
      <c r="C160" s="23" t="str">
        <f>VLOOKUP(A160,'[1]ETF List'!$A$3:$B$185,2,FALSE)</f>
        <v>iShares Core Composite Bond ETF</v>
      </c>
      <c r="D160" s="24"/>
      <c r="E160" s="7"/>
      <c r="F160" s="25">
        <f>_xlfn.IFNA(VLOOKUP(A160,'[1]ETF List'!$A$2:$I$180,6,FALSE),"n/a")</f>
        <v>0.2</v>
      </c>
      <c r="G160" s="26">
        <f>_xlfn.IFNA(VLOOKUP(A160,'[1]ETF List'!$A$2:$J$180,8,FALSE)/1000000,"n/a")</f>
        <v>583.48090683000009</v>
      </c>
      <c r="H160" s="25">
        <f>_xlfn.IFNA(VLOOKUP(A160,'[1]ETF List'!$A$2:$N$180,14,FALSE)/1000000,"n/a")</f>
        <v>13.642462350000024</v>
      </c>
      <c r="I160" s="26">
        <f>_xlfn.IFNA(VLOOKUP(A160,'[1]ETF List'!$A:$R,18,FALSE)/1000000,"n/a")</f>
        <v>11.236050000000001</v>
      </c>
      <c r="J160" s="27">
        <f>_xlfn.IFNA(VLOOKUP(A160,[1]IRESS!$A$10:$F$875,5,FALSE),"n/a")</f>
        <v>25930918.649999995</v>
      </c>
      <c r="K160" s="28">
        <f>_xlfn.IFNA(VLOOKUP(A160,[1]IRESS!$A$11:$G$684,7,FALSE),"n/a")</f>
        <v>243420</v>
      </c>
      <c r="L160" s="27">
        <f>_xlfn.IFNA(VLOOKUP(A160,[1]IRESS!$A$10:$F$875,4,FALSE),"n/a")</f>
        <v>1344</v>
      </c>
      <c r="M160" s="29">
        <f t="shared" si="2"/>
        <v>4.4441760384037882E-2</v>
      </c>
      <c r="N160" s="30">
        <f>_xlfn.IFNA(VLOOKUP(A160,[1]Spreads!$A$1:$G$279,2,FALSE),"n/a")</f>
        <v>6.8026190759832997E-4</v>
      </c>
      <c r="O160" s="28">
        <f>IFERROR(VLOOKUP(A160,[1]Spreads!$A$1:$G$279,5,FALSE)/1000,"n/a")</f>
        <v>3665.6372547300698</v>
      </c>
      <c r="P160" s="31">
        <f>IFERROR(VLOOKUP(A160,[1]Spreads!$A$1:$G$279,6,FALSE)/1000,"n/a")</f>
        <v>3426.0416492447298</v>
      </c>
      <c r="Q160" s="9"/>
      <c r="R160" s="32">
        <f>_xlfn.IFNA(VLOOKUP($A160,[1]IRESS!$A$11:$AE$696,6,FALSE)/100,"n/a")</f>
        <v>107.01</v>
      </c>
      <c r="S160" s="33">
        <f>_xlfn.IFNA(VLOOKUP($A160,[1]IRESS!$A$11:$AE$696,21,FALSE)/100,"n/a")</f>
        <v>107.53</v>
      </c>
      <c r="T160" s="32">
        <f>_xlfn.IFNA(VLOOKUP($A160,[1]IRESS!$A$11:$AE$696,22,FALSE)/100,"n/a")</f>
        <v>105.03</v>
      </c>
      <c r="V160" s="34">
        <f>IFERROR((VLOOKUP($A160,[1]IRESS!$A$11:$AE$696,20,FALSE)/100)/R160,"n/a")</f>
        <v>2.2721418559013176E-2</v>
      </c>
      <c r="W160" s="35">
        <f>IFERROR(VLOOKUP($A160,[1]Morningstar!$A$2:$F$477,3,FALSE),"n/a")</f>
        <v>7.1000000000000004E-3</v>
      </c>
      <c r="X160" s="34">
        <f>IFERROR(VLOOKUP($A160,[1]Morningstar!$A$2:$F$477,4,FALSE),"n/a")</f>
        <v>2.8299999999999999E-2</v>
      </c>
      <c r="Y160" s="35">
        <f>IFERROR(VLOOKUP($A160,[1]Morningstar!$A$2:$F$477,5,FALSE),"n/a")</f>
        <v>2.9700000000000001E-2</v>
      </c>
      <c r="Z160" s="34">
        <f>IFERROR(VLOOKUP($A160,[1]Morningstar!$A$2:$F$477,6,FALSE),"n/a")</f>
        <v>4.0599999999999997E-2</v>
      </c>
    </row>
    <row r="161" spans="1:26">
      <c r="A161" s="21" t="s">
        <v>177</v>
      </c>
      <c r="B161" s="22" t="s">
        <v>28</v>
      </c>
      <c r="C161" s="23" t="str">
        <f>VLOOKUP(A161,'[1]ETF List'!$A$3:$B$185,2,FALSE)</f>
        <v>iShares Government Inflation ETF</v>
      </c>
      <c r="D161" s="24"/>
      <c r="E161" s="7"/>
      <c r="F161" s="25">
        <f>_xlfn.IFNA(VLOOKUP(A161,'[1]ETF List'!$A$2:$I$180,6,FALSE),"n/a")</f>
        <v>0.26</v>
      </c>
      <c r="G161" s="26">
        <f>_xlfn.IFNA(VLOOKUP(A161,'[1]ETF List'!$A$2:$J$180,8,FALSE)/1000000,"n/a")</f>
        <v>117.07599690000001</v>
      </c>
      <c r="H161" s="25">
        <f>_xlfn.IFNA(VLOOKUP(A161,'[1]ETF List'!$A$2:$N$180,14,FALSE)/1000000,"n/a")</f>
        <v>1.1121723200000078</v>
      </c>
      <c r="I161" s="26">
        <f>_xlfn.IFNA(VLOOKUP(A161,'[1]ETF List'!$A:$R,18,FALSE)/1000000,"n/a")</f>
        <v>0</v>
      </c>
      <c r="J161" s="27">
        <f>_xlfn.IFNA(VLOOKUP(A161,[1]IRESS!$A$10:$F$875,5,FALSE),"n/a")</f>
        <v>4609628.665</v>
      </c>
      <c r="K161" s="28">
        <f>_xlfn.IFNA(VLOOKUP(A161,[1]IRESS!$A$11:$G$684,7,FALSE),"n/a")</f>
        <v>39462</v>
      </c>
      <c r="L161" s="27">
        <f>_xlfn.IFNA(VLOOKUP(A161,[1]IRESS!$A$10:$F$875,4,FALSE),"n/a")</f>
        <v>397</v>
      </c>
      <c r="M161" s="29">
        <f t="shared" si="2"/>
        <v>3.9372961042879663E-2</v>
      </c>
      <c r="N161" s="30">
        <f>_xlfn.IFNA(VLOOKUP(A161,[1]Spreads!$A$1:$G$279,2,FALSE),"n/a")</f>
        <v>1.6050637450629199E-3</v>
      </c>
      <c r="O161" s="28">
        <f>IFERROR(VLOOKUP(A161,[1]Spreads!$A$1:$G$279,5,FALSE)/1000,"n/a")</f>
        <v>606.44683967748506</v>
      </c>
      <c r="P161" s="31">
        <f>IFERROR(VLOOKUP(A161,[1]Spreads!$A$1:$G$279,6,FALSE)/1000,"n/a")</f>
        <v>344.21079485234299</v>
      </c>
      <c r="Q161" s="9"/>
      <c r="R161" s="32">
        <f>_xlfn.IFNA(VLOOKUP($A161,[1]IRESS!$A$11:$AE$696,6,FALSE)/100,"n/a")</f>
        <v>117.9</v>
      </c>
      <c r="S161" s="33">
        <f>_xlfn.IFNA(VLOOKUP($A161,[1]IRESS!$A$11:$AE$696,21,FALSE)/100,"n/a")</f>
        <v>118.46</v>
      </c>
      <c r="T161" s="32">
        <f>_xlfn.IFNA(VLOOKUP($A161,[1]IRESS!$A$11:$AE$696,22,FALSE)/100,"n/a")</f>
        <v>112.6</v>
      </c>
      <c r="V161" s="34">
        <f>IFERROR((VLOOKUP($A161,[1]IRESS!$A$11:$AE$696,20,FALSE)/100)/R161,"n/a")</f>
        <v>8.7369380831212873E-3</v>
      </c>
      <c r="W161" s="35">
        <f>IFERROR(VLOOKUP($A161,[1]Morningstar!$A$2:$F$477,3,FALSE),"n/a")</f>
        <v>1.2200000000000001E-2</v>
      </c>
      <c r="X161" s="34">
        <f>IFERROR(VLOOKUP($A161,[1]Morningstar!$A$2:$F$477,4,FALSE),"n/a")</f>
        <v>3.8699999999999998E-2</v>
      </c>
      <c r="Y161" s="35">
        <f>IFERROR(VLOOKUP($A161,[1]Morningstar!$A$2:$F$477,5,FALSE),"n/a")</f>
        <v>2.4199999999999999E-2</v>
      </c>
      <c r="Z161" s="34">
        <f>IFERROR(VLOOKUP($A161,[1]Morningstar!$A$2:$F$477,6,FALSE),"n/a")</f>
        <v>4.5199999999999997E-2</v>
      </c>
    </row>
    <row r="162" spans="1:26">
      <c r="A162" s="21" t="s">
        <v>178</v>
      </c>
      <c r="B162" s="22" t="s">
        <v>28</v>
      </c>
      <c r="C162" s="23" t="str">
        <f>VLOOKUP(A162,'[1]ETF List'!$A$3:$B$185,2,FALSE)</f>
        <v>iShares Treasury ETF</v>
      </c>
      <c r="D162" s="24"/>
      <c r="E162" s="7"/>
      <c r="F162" s="25">
        <f>_xlfn.IFNA(VLOOKUP(A162,'[1]ETF List'!$A$2:$I$180,6,FALSE),"n/a")</f>
        <v>0.26</v>
      </c>
      <c r="G162" s="26">
        <f>_xlfn.IFNA(VLOOKUP(A162,'[1]ETF List'!$A$2:$J$180,8,FALSE)/1000000,"n/a")</f>
        <v>30.861431100000001</v>
      </c>
      <c r="H162" s="25">
        <f>_xlfn.IFNA(VLOOKUP(A162,'[1]ETF List'!$A$2:$N$180,14,FALSE)/1000000,"n/a")</f>
        <v>8.3328839999999849E-2</v>
      </c>
      <c r="I162" s="26">
        <f>_xlfn.IFNA(VLOOKUP(A162,'[1]ETF List'!$A:$R,18,FALSE)/1000000,"n/a")</f>
        <v>0</v>
      </c>
      <c r="J162" s="27">
        <f>_xlfn.IFNA(VLOOKUP(A162,[1]IRESS!$A$10:$F$875,5,FALSE),"n/a")</f>
        <v>1684494.5</v>
      </c>
      <c r="K162" s="28">
        <f>_xlfn.IFNA(VLOOKUP(A162,[1]IRESS!$A$11:$G$684,7,FALSE),"n/a")</f>
        <v>16335</v>
      </c>
      <c r="L162" s="27">
        <f>_xlfn.IFNA(VLOOKUP(A162,[1]IRESS!$A$10:$F$875,4,FALSE),"n/a")</f>
        <v>75</v>
      </c>
      <c r="M162" s="29">
        <f t="shared" si="2"/>
        <v>5.4582514159558851E-2</v>
      </c>
      <c r="N162" s="30">
        <f>_xlfn.IFNA(VLOOKUP(A162,[1]Spreads!$A$1:$G$279,2,FALSE),"n/a")</f>
        <v>1.1082245092627402E-3</v>
      </c>
      <c r="O162" s="28">
        <f>IFERROR(VLOOKUP(A162,[1]Spreads!$A$1:$G$279,5,FALSE)/1000,"n/a")</f>
        <v>1780.6298544282502</v>
      </c>
      <c r="P162" s="31">
        <f>IFERROR(VLOOKUP(A162,[1]Spreads!$A$1:$G$279,6,FALSE)/1000,"n/a")</f>
        <v>1472.5762664818801</v>
      </c>
      <c r="Q162" s="9"/>
      <c r="R162" s="32">
        <f>_xlfn.IFNA(VLOOKUP($A162,[1]IRESS!$A$11:$AE$696,6,FALSE)/100,"n/a")</f>
        <v>103.7</v>
      </c>
      <c r="S162" s="33">
        <f>_xlfn.IFNA(VLOOKUP($A162,[1]IRESS!$A$11:$AE$696,21,FALSE)/100,"n/a")</f>
        <v>103.86</v>
      </c>
      <c r="T162" s="32">
        <f>_xlfn.IFNA(VLOOKUP($A162,[1]IRESS!$A$11:$AE$696,22,FALSE)/100,"n/a")</f>
        <v>101.49</v>
      </c>
      <c r="V162" s="34">
        <f>IFERROR((VLOOKUP($A162,[1]IRESS!$A$11:$AE$696,20,FALSE)/100)/R162,"n/a")</f>
        <v>2.1322864030858243E-2</v>
      </c>
      <c r="W162" s="35">
        <f>IFERROR(VLOOKUP($A162,[1]Morningstar!$A$2:$F$477,3,FALSE),"n/a")</f>
        <v>8.5000000000000006E-3</v>
      </c>
      <c r="X162" s="34">
        <f>IFERROR(VLOOKUP($A162,[1]Morningstar!$A$2:$F$477,4,FALSE),"n/a")</f>
        <v>2.5100000000000001E-2</v>
      </c>
      <c r="Y162" s="35">
        <f>IFERROR(VLOOKUP($A162,[1]Morningstar!$A$2:$F$477,5,FALSE),"n/a")</f>
        <v>2.7300000000000001E-2</v>
      </c>
      <c r="Z162" s="34">
        <f>IFERROR(VLOOKUP($A162,[1]Morningstar!$A$2:$F$477,6,FALSE),"n/a")</f>
        <v>3.6999999999999998E-2</v>
      </c>
    </row>
    <row r="163" spans="1:26">
      <c r="A163" s="21" t="s">
        <v>179</v>
      </c>
      <c r="B163" s="22" t="s">
        <v>28</v>
      </c>
      <c r="C163" s="23" t="str">
        <f>VLOOKUP(A163,'[1]ETF List'!$A$3:$B$185,2,FALSE)</f>
        <v>iShares Enhanced Cash ETF</v>
      </c>
      <c r="D163" s="24"/>
      <c r="E163" s="7"/>
      <c r="F163" s="25">
        <f>_xlfn.IFNA(VLOOKUP(A163,'[1]ETF List'!$A$2:$I$180,6,FALSE),"n/a")</f>
        <v>0.12</v>
      </c>
      <c r="G163" s="26">
        <f>_xlfn.IFNA(VLOOKUP(A163,'[1]ETF List'!$A$2:$J$180,8,FALSE)/1000000,"n/a")</f>
        <v>36.134304069999999</v>
      </c>
      <c r="H163" s="25">
        <f>_xlfn.IFNA(VLOOKUP(A163,'[1]ETF List'!$A$2:$N$180,14,FALSE)/1000000,"n/a")</f>
        <v>7.0232006500000024</v>
      </c>
      <c r="I163" s="26">
        <f>_xlfn.IFNA(VLOOKUP(A163,'[1]ETF List'!$A:$R,18,FALSE)/1000000,"n/a")</f>
        <v>7.0261007400000004</v>
      </c>
      <c r="J163" s="27">
        <f>_xlfn.IFNA(VLOOKUP(A163,[1]IRESS!$A$10:$F$875,5,FALSE),"n/a")</f>
        <v>9465520.4999999981</v>
      </c>
      <c r="K163" s="28">
        <f>_xlfn.IFNA(VLOOKUP(A163,[1]IRESS!$A$11:$G$684,7,FALSE),"n/a")</f>
        <v>94403</v>
      </c>
      <c r="L163" s="27">
        <f>_xlfn.IFNA(VLOOKUP(A163,[1]IRESS!$A$10:$F$875,4,FALSE),"n/a")</f>
        <v>309</v>
      </c>
      <c r="M163" s="29">
        <f t="shared" si="2"/>
        <v>0.26195386194966502</v>
      </c>
      <c r="N163" s="30">
        <f>_xlfn.IFNA(VLOOKUP(A163,[1]Spreads!$A$1:$G$279,2,FALSE),"n/a")</f>
        <v>1.1745761369465099E-4</v>
      </c>
      <c r="O163" s="28">
        <f>IFERROR(VLOOKUP(A163,[1]Spreads!$A$1:$G$279,5,FALSE)/1000,"n/a")</f>
        <v>1013.73596625328</v>
      </c>
      <c r="P163" s="31">
        <f>IFERROR(VLOOKUP(A163,[1]Spreads!$A$1:$G$279,6,FALSE)/1000,"n/a")</f>
        <v>986.442855558264</v>
      </c>
      <c r="Q163" s="9"/>
      <c r="R163" s="32">
        <f>_xlfn.IFNA(VLOOKUP($A163,[1]IRESS!$A$11:$AE$696,6,FALSE)/100,"n/a")</f>
        <v>100.37</v>
      </c>
      <c r="S163" s="33">
        <f>_xlfn.IFNA(VLOOKUP($A163,[1]IRESS!$A$11:$AE$696,21,FALSE)/100,"n/a")</f>
        <v>100.38</v>
      </c>
      <c r="T163" s="32">
        <f>_xlfn.IFNA(VLOOKUP($A163,[1]IRESS!$A$11:$AE$696,22,FALSE)/100,"n/a")</f>
        <v>100.05</v>
      </c>
      <c r="V163" s="34">
        <f>IFERROR((VLOOKUP($A163,[1]IRESS!$A$11:$AE$696,20,FALSE)/100)/R163,"n/a")</f>
        <v>1.679004682674106E-2</v>
      </c>
      <c r="W163" s="35">
        <f>IFERROR(VLOOKUP($A163,[1]Morningstar!$A$2:$F$477,3,FALSE),"n/a")</f>
        <v>1.5E-3</v>
      </c>
      <c r="X163" s="34">
        <f>IFERROR(VLOOKUP($A163,[1]Morningstar!$A$2:$F$477,4,FALSE),"n/a")</f>
        <v>2.1000000000000001E-2</v>
      </c>
      <c r="Y163" s="35" t="str">
        <f>IFERROR(VLOOKUP($A163,[1]Morningstar!$A$2:$F$477,5,FALSE),"n/a")</f>
        <v>n/a</v>
      </c>
      <c r="Z163" s="34" t="str">
        <f>IFERROR(VLOOKUP($A163,[1]Morningstar!$A$2:$F$477,6,FALSE),"n/a")</f>
        <v>n/a</v>
      </c>
    </row>
    <row r="164" spans="1:26">
      <c r="A164" s="21" t="s">
        <v>180</v>
      </c>
      <c r="B164" s="22" t="s">
        <v>28</v>
      </c>
      <c r="C164" s="23" t="str">
        <f>VLOOKUP(A164,'[1]ETF List'!$A$3:$B$185,2,FALSE)</f>
        <v>UBS IQ Cash ETF</v>
      </c>
      <c r="D164" s="24"/>
      <c r="E164" s="7"/>
      <c r="F164" s="25">
        <f>_xlfn.IFNA(VLOOKUP(A164,'[1]ETF List'!$A$2:$I$180,6,FALSE),"n/a")</f>
        <v>0.18</v>
      </c>
      <c r="G164" s="26">
        <f>_xlfn.IFNA(VLOOKUP(A164,'[1]ETF List'!$A$2:$J$180,8,FALSE)/1000000,"n/a")</f>
        <v>1.0001800000000001</v>
      </c>
      <c r="H164" s="25">
        <f>_xlfn.IFNA(VLOOKUP(A164,'[1]ETF List'!$A$2:$N$180,14,FALSE)/1000000,"n/a")</f>
        <v>-4.6007000000006519E-4</v>
      </c>
      <c r="I164" s="26">
        <f>_xlfn.IFNA(VLOOKUP(A164,'[1]ETF List'!$A:$R,18,FALSE)/1000000,"n/a")</f>
        <v>4.0000000000000003E-5</v>
      </c>
      <c r="J164" s="27">
        <f>_xlfn.IFNA(VLOOKUP(A164,[1]IRESS!$A$10:$F$875,5,FALSE),"n/a")</f>
        <v>100120.02</v>
      </c>
      <c r="K164" s="28">
        <f>_xlfn.IFNA(VLOOKUP(A164,[1]IRESS!$A$11:$G$684,7,FALSE),"n/a")</f>
        <v>5001</v>
      </c>
      <c r="L164" s="27">
        <f>_xlfn.IFNA(VLOOKUP(A164,[1]IRESS!$A$10:$F$875,4,FALSE),"n/a")</f>
        <v>2</v>
      </c>
      <c r="M164" s="29">
        <f t="shared" si="2"/>
        <v>0.10010200163970484</v>
      </c>
      <c r="N164" s="30">
        <f>_xlfn.IFNA(VLOOKUP(A164,[1]Spreads!$A$1:$G$279,2,FALSE),"n/a")</f>
        <v>9.99500249875062E-4</v>
      </c>
      <c r="O164" s="28">
        <f>IFERROR(VLOOKUP(A164,[1]Spreads!$A$1:$G$279,5,FALSE)/1000,"n/a")</f>
        <v>60</v>
      </c>
      <c r="P164" s="31">
        <f>IFERROR(VLOOKUP(A164,[1]Spreads!$A$1:$G$279,6,FALSE)/1000,"n/a")</f>
        <v>50.048998999999903</v>
      </c>
      <c r="Q164" s="9"/>
      <c r="R164" s="32">
        <f>_xlfn.IFNA(VLOOKUP($A164,[1]IRESS!$A$11:$AE$696,6,FALSE)/100,"n/a")</f>
        <v>20.02</v>
      </c>
      <c r="S164" s="33">
        <f>_xlfn.IFNA(VLOOKUP($A164,[1]IRESS!$A$11:$AE$696,21,FALSE)/100,"n/a")</f>
        <v>20.03</v>
      </c>
      <c r="T164" s="32">
        <f>_xlfn.IFNA(VLOOKUP($A164,[1]IRESS!$A$11:$AE$696,22,FALSE)/100,"n/a")</f>
        <v>20</v>
      </c>
      <c r="V164" s="34">
        <f>IFERROR((VLOOKUP($A164,[1]IRESS!$A$11:$AE$696,20,FALSE)/100)/R164,"n/a")</f>
        <v>1.6911838161838166E-2</v>
      </c>
      <c r="W164" s="35">
        <f>IFERROR(VLOOKUP($A164,[1]Morningstar!$A$2:$F$477,3,FALSE),"n/a")</f>
        <v>4.0000000000000001E-3</v>
      </c>
      <c r="X164" s="34" t="str">
        <f>IFERROR(VLOOKUP($A164,[1]Morningstar!$A$2:$F$477,4,FALSE),"n/a")</f>
        <v>n/a</v>
      </c>
      <c r="Y164" s="35" t="str">
        <f>IFERROR(VLOOKUP($A164,[1]Morningstar!$A$2:$F$477,5,FALSE),"n/a")</f>
        <v>n/a</v>
      </c>
      <c r="Z164" s="34" t="str">
        <f>IFERROR(VLOOKUP($A164,[1]Morningstar!$A$2:$F$477,6,FALSE),"n/a")</f>
        <v>n/a</v>
      </c>
    </row>
    <row r="165" spans="1:26">
      <c r="A165" s="21" t="s">
        <v>181</v>
      </c>
      <c r="B165" s="22" t="s">
        <v>28</v>
      </c>
      <c r="C165" s="23" t="str">
        <f>VLOOKUP(A165,'[1]ETF List'!$A$3:$B$185,2,FALSE)</f>
        <v>VanEck Vectors Australian Corporate Bond Plus ETF</v>
      </c>
      <c r="D165" s="24"/>
      <c r="E165" s="7"/>
      <c r="F165" s="25">
        <f>_xlfn.IFNA(VLOOKUP(A165,'[1]ETF List'!$A$2:$I$180,6,FALSE),"n/a")</f>
        <v>0.32</v>
      </c>
      <c r="G165" s="26">
        <f>_xlfn.IFNA(VLOOKUP(A165,'[1]ETF List'!$A$2:$J$180,8,FALSE)/1000000,"n/a")</f>
        <v>195.44439249999999</v>
      </c>
      <c r="H165" s="25">
        <f>_xlfn.IFNA(VLOOKUP(A165,'[1]ETF List'!$A$2:$N$180,14,FALSE)/1000000,"n/a")</f>
        <v>7.8874125500000121</v>
      </c>
      <c r="I165" s="26">
        <f>_xlfn.IFNA(VLOOKUP(A165,'[1]ETF List'!$A:$R,18,FALSE)/1000000,"n/a")</f>
        <v>7.35</v>
      </c>
      <c r="J165" s="27">
        <f>_xlfn.IFNA(VLOOKUP(A165,[1]IRESS!$A$10:$F$875,5,FALSE),"n/a")</f>
        <v>12410015.115</v>
      </c>
      <c r="K165" s="28">
        <f>_xlfn.IFNA(VLOOKUP(A165,[1]IRESS!$A$11:$G$684,7,FALSE),"n/a")</f>
        <v>711296</v>
      </c>
      <c r="L165" s="27">
        <f>_xlfn.IFNA(VLOOKUP(A165,[1]IRESS!$A$10:$F$875,4,FALSE),"n/a")</f>
        <v>494</v>
      </c>
      <c r="M165" s="29">
        <f t="shared" si="2"/>
        <v>6.3496398930964468E-2</v>
      </c>
      <c r="N165" s="30">
        <f>_xlfn.IFNA(VLOOKUP(A165,[1]Spreads!$A$1:$G$279,2,FALSE),"n/a")</f>
        <v>2.4319706556620098E-3</v>
      </c>
      <c r="O165" s="28">
        <f>IFERROR(VLOOKUP(A165,[1]Spreads!$A$1:$G$279,5,FALSE)/1000,"n/a")</f>
        <v>1047.7729919028</v>
      </c>
      <c r="P165" s="31">
        <f>IFERROR(VLOOKUP(A165,[1]Spreads!$A$1:$G$279,6,FALSE)/1000,"n/a")</f>
        <v>787.06158301211701</v>
      </c>
      <c r="Q165" s="9"/>
      <c r="R165" s="32">
        <f>_xlfn.IFNA(VLOOKUP($A165,[1]IRESS!$A$11:$AE$696,6,FALSE)/100,"n/a")</f>
        <v>17.5</v>
      </c>
      <c r="S165" s="33">
        <f>_xlfn.IFNA(VLOOKUP($A165,[1]IRESS!$A$11:$AE$696,21,FALSE)/100,"n/a")</f>
        <v>17.66</v>
      </c>
      <c r="T165" s="32">
        <f>_xlfn.IFNA(VLOOKUP($A165,[1]IRESS!$A$11:$AE$696,22,FALSE)/100,"n/a")</f>
        <v>17.23</v>
      </c>
      <c r="V165" s="34">
        <f>IFERROR((VLOOKUP($A165,[1]IRESS!$A$11:$AE$696,20,FALSE)/100)/R165,"n/a")</f>
        <v>3.5428571428571427E-2</v>
      </c>
      <c r="W165" s="35">
        <f>IFERROR(VLOOKUP($A165,[1]Morningstar!$A$2:$F$477,3,FALSE),"n/a")</f>
        <v>7.0000000000000001E-3</v>
      </c>
      <c r="X165" s="34">
        <f>IFERROR(VLOOKUP($A165,[1]Morningstar!$A$2:$F$477,4,FALSE),"n/a")</f>
        <v>0.04</v>
      </c>
      <c r="Y165" s="35" t="str">
        <f>IFERROR(VLOOKUP($A165,[1]Morningstar!$A$2:$F$477,5,FALSE),"n/a")</f>
        <v>n/a</v>
      </c>
      <c r="Z165" s="34" t="str">
        <f>IFERROR(VLOOKUP($A165,[1]Morningstar!$A$2:$F$477,6,FALSE),"n/a")</f>
        <v>n/a</v>
      </c>
    </row>
    <row r="166" spans="1:26">
      <c r="A166" s="21" t="s">
        <v>182</v>
      </c>
      <c r="B166" s="22" t="s">
        <v>28</v>
      </c>
      <c r="C166" s="23" t="str">
        <f>VLOOKUP(A166,'[1]ETF List'!$A$3:$B$185,2,FALSE)</f>
        <v>BetaShares Australian Bank Senior Floating Rate Bond ETF</v>
      </c>
      <c r="D166" s="24"/>
      <c r="E166" s="7"/>
      <c r="F166" s="25">
        <f>_xlfn.IFNA(VLOOKUP(A166,'[1]ETF List'!$A$2:$I$180,6,FALSE),"n/a")</f>
        <v>0.22</v>
      </c>
      <c r="G166" s="26">
        <f>_xlfn.IFNA(VLOOKUP(A166,'[1]ETF List'!$A$2:$J$180,8,FALSE)/1000000,"n/a")</f>
        <v>236.70273</v>
      </c>
      <c r="H166" s="25">
        <f>_xlfn.IFNA(VLOOKUP(A166,'[1]ETF List'!$A$2:$N$180,14,FALSE)/1000000,"n/a")</f>
        <v>-16.706784560000003</v>
      </c>
      <c r="I166" s="26">
        <f>_xlfn.IFNA(VLOOKUP(A166,'[1]ETF List'!$A:$R,18,FALSE)/1000000,"n/a")</f>
        <v>-16.309902000000001</v>
      </c>
      <c r="J166" s="27">
        <f>_xlfn.IFNA(VLOOKUP(A166,[1]IRESS!$A$10:$F$875,5,FALSE),"n/a")</f>
        <v>19732433.695000004</v>
      </c>
      <c r="K166" s="28">
        <f>_xlfn.IFNA(VLOOKUP(A166,[1]IRESS!$A$11:$G$684,7,FALSE),"n/a")</f>
        <v>774254</v>
      </c>
      <c r="L166" s="27">
        <f>_xlfn.IFNA(VLOOKUP(A166,[1]IRESS!$A$10:$F$875,4,FALSE),"n/a")</f>
        <v>1058</v>
      </c>
      <c r="M166" s="29">
        <f t="shared" si="2"/>
        <v>8.3363777405524656E-2</v>
      </c>
      <c r="N166" s="30">
        <f>_xlfn.IFNA(VLOOKUP(A166,[1]Spreads!$A$1:$G$279,2,FALSE),"n/a")</f>
        <v>3.9230847359931597E-4</v>
      </c>
      <c r="O166" s="28">
        <f>IFERROR(VLOOKUP(A166,[1]Spreads!$A$1:$G$279,5,FALSE)/1000,"n/a")</f>
        <v>3372.5945365754196</v>
      </c>
      <c r="P166" s="31">
        <f>IFERROR(VLOOKUP(A166,[1]Spreads!$A$1:$G$279,6,FALSE)/1000,"n/a")</f>
        <v>4176.95980366805</v>
      </c>
      <c r="Q166" s="9"/>
      <c r="R166" s="32">
        <f>_xlfn.IFNA(VLOOKUP($A166,[1]IRESS!$A$11:$AE$696,6,FALSE)/100,"n/a")</f>
        <v>25.5</v>
      </c>
      <c r="S166" s="33">
        <f>_xlfn.IFNA(VLOOKUP($A166,[1]IRESS!$A$11:$AE$696,21,FALSE)/100,"n/a")</f>
        <v>25.7</v>
      </c>
      <c r="T166" s="32">
        <f>_xlfn.IFNA(VLOOKUP($A166,[1]IRESS!$A$11:$AE$696,22,FALSE)/100,"n/a")</f>
        <v>25.44</v>
      </c>
      <c r="V166" s="34">
        <f>IFERROR((VLOOKUP($A166,[1]IRESS!$A$11:$AE$696,20,FALSE)/100)/R166,"n/a")</f>
        <v>2.4732235294117652E-2</v>
      </c>
      <c r="W166" s="35">
        <f>IFERROR(VLOOKUP($A166,[1]Morningstar!$A$2:$F$477,3,FALSE),"n/a")</f>
        <v>4.0000000000000002E-4</v>
      </c>
      <c r="X166" s="34">
        <f>IFERROR(VLOOKUP($A166,[1]Morningstar!$A$2:$F$477,4,FALSE),"n/a")</f>
        <v>2.46E-2</v>
      </c>
      <c r="Y166" s="35" t="str">
        <f>IFERROR(VLOOKUP($A166,[1]Morningstar!$A$2:$F$477,5,FALSE),"n/a")</f>
        <v>n/a</v>
      </c>
      <c r="Z166" s="34" t="str">
        <f>IFERROR(VLOOKUP($A166,[1]Morningstar!$A$2:$F$477,6,FALSE),"n/a")</f>
        <v>n/a</v>
      </c>
    </row>
    <row r="167" spans="1:26">
      <c r="A167" s="21" t="s">
        <v>183</v>
      </c>
      <c r="B167" s="22" t="s">
        <v>28</v>
      </c>
      <c r="C167" s="23" t="str">
        <f>VLOOKUP(A167,'[1]ETF List'!$A$3:$B$185,2,FALSE)</f>
        <v>Russell Australian Government Bond ETF</v>
      </c>
      <c r="D167" s="24"/>
      <c r="E167" s="7"/>
      <c r="F167" s="25">
        <f>_xlfn.IFNA(VLOOKUP(A167,'[1]ETF List'!$A$2:$I$180,6,FALSE),"n/a")</f>
        <v>0.24</v>
      </c>
      <c r="G167" s="26">
        <f>_xlfn.IFNA(VLOOKUP(A167,'[1]ETF List'!$A$2:$J$180,8,FALSE)/1000000,"n/a")</f>
        <v>60.529549339999996</v>
      </c>
      <c r="H167" s="25">
        <f>_xlfn.IFNA(VLOOKUP(A167,'[1]ETF List'!$A$2:$N$180,14,FALSE)/1000000,"n/a")</f>
        <v>8.638850999999792E-2</v>
      </c>
      <c r="I167" s="26">
        <f>_xlfn.IFNA(VLOOKUP(A167,'[1]ETF List'!$A:$R,18,FALSE)/1000000,"n/a")</f>
        <v>0</v>
      </c>
      <c r="J167" s="27">
        <f>_xlfn.IFNA(VLOOKUP(A167,[1]IRESS!$A$10:$F$875,5,FALSE),"n/a")</f>
        <v>661928.05000000005</v>
      </c>
      <c r="K167" s="28">
        <f>_xlfn.IFNA(VLOOKUP(A167,[1]IRESS!$A$11:$G$684,7,FALSE),"n/a")</f>
        <v>31712</v>
      </c>
      <c r="L167" s="27">
        <f>_xlfn.IFNA(VLOOKUP(A167,[1]IRESS!$A$10:$F$875,4,FALSE),"n/a")</f>
        <v>24</v>
      </c>
      <c r="M167" s="29">
        <f t="shared" si="2"/>
        <v>1.0935618342074379E-2</v>
      </c>
      <c r="N167" s="30">
        <f>_xlfn.IFNA(VLOOKUP(A167,[1]Spreads!$A$1:$G$279,2,FALSE),"n/a")</f>
        <v>2.5818449031335599E-3</v>
      </c>
      <c r="O167" s="28">
        <f>IFERROR(VLOOKUP(A167,[1]Spreads!$A$1:$G$279,5,FALSE)/1000,"n/a")</f>
        <v>1477.3071328977101</v>
      </c>
      <c r="P167" s="31">
        <f>IFERROR(VLOOKUP(A167,[1]Spreads!$A$1:$G$279,6,FALSE)/1000,"n/a")</f>
        <v>1242.4270819360099</v>
      </c>
      <c r="Q167" s="9"/>
      <c r="R167" s="32">
        <f>_xlfn.IFNA(VLOOKUP($A167,[1]IRESS!$A$11:$AE$696,6,FALSE)/100,"n/a")</f>
        <v>21.02</v>
      </c>
      <c r="S167" s="33">
        <f>_xlfn.IFNA(VLOOKUP($A167,[1]IRESS!$A$11:$AE$696,21,FALSE)/100,"n/a")</f>
        <v>21.19</v>
      </c>
      <c r="T167" s="32">
        <f>_xlfn.IFNA(VLOOKUP($A167,[1]IRESS!$A$11:$AE$696,22,FALSE)/100,"n/a")</f>
        <v>20.55</v>
      </c>
      <c r="V167" s="34">
        <f>IFERROR((VLOOKUP($A167,[1]IRESS!$A$11:$AE$696,20,FALSE)/100)/R167,"n/a")</f>
        <v>2.0164985727878212E-2</v>
      </c>
      <c r="W167" s="35">
        <f>IFERROR(VLOOKUP($A167,[1]Morningstar!$A$2:$F$477,3,FALSE),"n/a")</f>
        <v>9.1999999999999998E-3</v>
      </c>
      <c r="X167" s="34">
        <f>IFERROR(VLOOKUP($A167,[1]Morningstar!$A$2:$F$477,4,FALSE),"n/a")</f>
        <v>2.29E-2</v>
      </c>
      <c r="Y167" s="35">
        <f>IFERROR(VLOOKUP($A167,[1]Morningstar!$A$2:$F$477,5,FALSE),"n/a")</f>
        <v>0.03</v>
      </c>
      <c r="Z167" s="34">
        <f>IFERROR(VLOOKUP($A167,[1]Morningstar!$A$2:$F$477,6,FALSE),"n/a")</f>
        <v>4.2700000000000002E-2</v>
      </c>
    </row>
    <row r="168" spans="1:26">
      <c r="A168" s="21" t="s">
        <v>184</v>
      </c>
      <c r="B168" s="22" t="s">
        <v>28</v>
      </c>
      <c r="C168" s="23" t="str">
        <f>VLOOKUP(A168,'[1]ETF List'!$A$3:$B$185,2,FALSE)</f>
        <v>Russell Australian Semi-Government Bond ETF</v>
      </c>
      <c r="D168" s="24"/>
      <c r="E168" s="7"/>
      <c r="F168" s="25">
        <f>_xlfn.IFNA(VLOOKUP(A168,'[1]ETF List'!$A$2:$I$180,6,FALSE),"n/a")</f>
        <v>0.26</v>
      </c>
      <c r="G168" s="26">
        <f>_xlfn.IFNA(VLOOKUP(A168,'[1]ETF List'!$A$2:$J$180,8,FALSE)/1000000,"n/a")</f>
        <v>61.142684459999998</v>
      </c>
      <c r="H168" s="25">
        <f>_xlfn.IFNA(VLOOKUP(A168,'[1]ETF List'!$A$2:$N$180,14,FALSE)/1000000,"n/a")</f>
        <v>-0.14942005000000447</v>
      </c>
      <c r="I168" s="26">
        <f>_xlfn.IFNA(VLOOKUP(A168,'[1]ETF List'!$A:$R,18,FALSE)/1000000,"n/a")</f>
        <v>0</v>
      </c>
      <c r="J168" s="27">
        <f>_xlfn.IFNA(VLOOKUP(A168,[1]IRESS!$A$10:$F$875,5,FALSE),"n/a")</f>
        <v>1102355.1099999999</v>
      </c>
      <c r="K168" s="28">
        <f>_xlfn.IFNA(VLOOKUP(A168,[1]IRESS!$A$11:$G$684,7,FALSE),"n/a")</f>
        <v>53845</v>
      </c>
      <c r="L168" s="27">
        <f>_xlfn.IFNA(VLOOKUP(A168,[1]IRESS!$A$10:$F$875,4,FALSE),"n/a")</f>
        <v>53</v>
      </c>
      <c r="M168" s="29">
        <f t="shared" si="2"/>
        <v>1.8029223278889051E-2</v>
      </c>
      <c r="N168" s="30">
        <f>_xlfn.IFNA(VLOOKUP(A168,[1]Spreads!$A$1:$G$279,2,FALSE),"n/a")</f>
        <v>2.3568735347628601E-3</v>
      </c>
      <c r="O168" s="28">
        <f>IFERROR(VLOOKUP(A168,[1]Spreads!$A$1:$G$279,5,FALSE)/1000,"n/a")</f>
        <v>1413.8269919153101</v>
      </c>
      <c r="P168" s="31">
        <f>IFERROR(VLOOKUP(A168,[1]Spreads!$A$1:$G$279,6,FALSE)/1000,"n/a")</f>
        <v>1159.9393366649599</v>
      </c>
      <c r="Q168" s="9"/>
      <c r="R168" s="32">
        <f>_xlfn.IFNA(VLOOKUP($A168,[1]IRESS!$A$11:$AE$696,6,FALSE)/100,"n/a")</f>
        <v>20.46</v>
      </c>
      <c r="S168" s="33">
        <f>_xlfn.IFNA(VLOOKUP($A168,[1]IRESS!$A$11:$AE$696,21,FALSE)/100,"n/a")</f>
        <v>20.62</v>
      </c>
      <c r="T168" s="32">
        <f>_xlfn.IFNA(VLOOKUP($A168,[1]IRESS!$A$11:$AE$696,22,FALSE)/100,"n/a")</f>
        <v>20.29</v>
      </c>
      <c r="V168" s="34">
        <f>IFERROR((VLOOKUP($A168,[1]IRESS!$A$11:$AE$696,20,FALSE)/100)/R168,"n/a")</f>
        <v>2.0066568914956014E-2</v>
      </c>
      <c r="W168" s="35">
        <f>IFERROR(VLOOKUP($A168,[1]Morningstar!$A$2:$F$477,3,FALSE),"n/a")</f>
        <v>3.0000000000000001E-3</v>
      </c>
      <c r="X168" s="34">
        <f>IFERROR(VLOOKUP($A168,[1]Morningstar!$A$2:$F$477,4,FALSE),"n/a")</f>
        <v>2.07E-2</v>
      </c>
      <c r="Y168" s="35">
        <f>IFERROR(VLOOKUP($A168,[1]Morningstar!$A$2:$F$477,5,FALSE),"n/a")</f>
        <v>2.5499999999999998E-2</v>
      </c>
      <c r="Z168" s="34">
        <f>IFERROR(VLOOKUP($A168,[1]Morningstar!$A$2:$F$477,6,FALSE),"n/a")</f>
        <v>3.8600000000000002E-2</v>
      </c>
    </row>
    <row r="169" spans="1:26" s="36" customFormat="1">
      <c r="A169" s="21" t="s">
        <v>185</v>
      </c>
      <c r="B169" s="22" t="s">
        <v>28</v>
      </c>
      <c r="C169" s="23" t="str">
        <f>VLOOKUP(A169,'[1]ETF List'!$A$3:$B$185,2,FALSE)</f>
        <v>Russell Australian Select Corporate Bond ETF</v>
      </c>
      <c r="D169" s="24"/>
      <c r="E169" s="7"/>
      <c r="F169" s="25">
        <f>_xlfn.IFNA(VLOOKUP(A169,'[1]ETF List'!$A$2:$I$180,6,FALSE),"n/a")</f>
        <v>0.28000000000000003</v>
      </c>
      <c r="G169" s="26">
        <f>_xlfn.IFNA(VLOOKUP(A169,'[1]ETF List'!$A$2:$J$180,8,FALSE)/1000000,"n/a")</f>
        <v>165.36241742999997</v>
      </c>
      <c r="H169" s="25">
        <f>_xlfn.IFNA(VLOOKUP(A169,'[1]ETF List'!$A$2:$N$180,14,FALSE)/1000000,"n/a")</f>
        <v>-1.1581159800000191</v>
      </c>
      <c r="I169" s="26">
        <f>_xlfn.IFNA(VLOOKUP(A169,'[1]ETF List'!$A:$R,18,FALSE)/1000000,"n/a")</f>
        <v>-1.8617138266563416E-14</v>
      </c>
      <c r="J169" s="27">
        <f>_xlfn.IFNA(VLOOKUP(A169,[1]IRESS!$A$10:$F$875,5,FALSE),"n/a")</f>
        <v>6822821.8950000014</v>
      </c>
      <c r="K169" s="28">
        <f>_xlfn.IFNA(VLOOKUP(A169,[1]IRESS!$A$11:$G$684,7,FALSE),"n/a")</f>
        <v>339588</v>
      </c>
      <c r="L169" s="27">
        <f>_xlfn.IFNA(VLOOKUP(A169,[1]IRESS!$A$10:$F$875,4,FALSE),"n/a")</f>
        <v>468</v>
      </c>
      <c r="M169" s="29">
        <f t="shared" si="2"/>
        <v>4.1259809822798393E-2</v>
      </c>
      <c r="N169" s="30">
        <f>_xlfn.IFNA(VLOOKUP(A169,[1]Spreads!$A$1:$G$279,2,FALSE),"n/a")</f>
        <v>2.9443365624353501E-3</v>
      </c>
      <c r="O169" s="28">
        <f>IFERROR(VLOOKUP(A169,[1]Spreads!$A$1:$G$279,5,FALSE)/1000,"n/a")</f>
        <v>1231.19792237</v>
      </c>
      <c r="P169" s="31">
        <f>IFERROR(VLOOKUP(A169,[1]Spreads!$A$1:$G$279,6,FALSE)/1000,"n/a")</f>
        <v>1146.7109668370199</v>
      </c>
      <c r="Q169" s="9"/>
      <c r="R169" s="32">
        <f>_xlfn.IFNA(VLOOKUP($A169,[1]IRESS!$A$11:$AE$696,6,FALSE)/100,"n/a")</f>
        <v>19.989999999999998</v>
      </c>
      <c r="S169" s="33">
        <f>_xlfn.IFNA(VLOOKUP($A169,[1]IRESS!$A$11:$AE$696,21,FALSE)/100,"n/a")</f>
        <v>20.39</v>
      </c>
      <c r="T169" s="32">
        <f>_xlfn.IFNA(VLOOKUP($A169,[1]IRESS!$A$11:$AE$696,22,FALSE)/100,"n/a")</f>
        <v>19.91</v>
      </c>
      <c r="U169" s="7"/>
      <c r="V169" s="34">
        <f>IFERROR((VLOOKUP($A169,[1]IRESS!$A$11:$AE$696,20,FALSE)/100)/R169,"n/a")</f>
        <v>3.3310705352676349E-2</v>
      </c>
      <c r="W169" s="35">
        <f>IFERROR(VLOOKUP($A169,[1]Morningstar!$A$2:$F$477,3,FALSE),"n/a")</f>
        <v>0</v>
      </c>
      <c r="X169" s="34">
        <f>IFERROR(VLOOKUP($A169,[1]Morningstar!$A$2:$F$477,4,FALSE),"n/a")</f>
        <v>2.24E-2</v>
      </c>
      <c r="Y169" s="35">
        <f>IFERROR(VLOOKUP($A169,[1]Morningstar!$A$2:$F$477,5,FALSE),"n/a")</f>
        <v>3.1600000000000003E-2</v>
      </c>
      <c r="Z169" s="34">
        <f>IFERROR(VLOOKUP($A169,[1]Morningstar!$A$2:$F$477,6,FALSE),"n/a")</f>
        <v>3.6700000000000003E-2</v>
      </c>
    </row>
    <row r="170" spans="1:26">
      <c r="A170" s="21" t="s">
        <v>186</v>
      </c>
      <c r="B170" s="22" t="s">
        <v>28</v>
      </c>
      <c r="C170" s="23" t="str">
        <f>VLOOKUP(A170,'[1]ETF List'!$A$3:$B$185,2,FALSE)</f>
        <v>Vanguard Australian Corporate Fixed Interest Index ETF</v>
      </c>
      <c r="D170" s="24"/>
      <c r="E170" s="7"/>
      <c r="F170" s="25">
        <f>_xlfn.IFNA(VLOOKUP(A170,'[1]ETF List'!$A$2:$I$180,6,FALSE),"n/a")</f>
        <v>0.26</v>
      </c>
      <c r="G170" s="26">
        <f>_xlfn.IFNA(VLOOKUP(A170,'[1]ETF List'!$A$2:$J$180,8,FALSE)/1000000,"n/a")</f>
        <v>126.67018704</v>
      </c>
      <c r="H170" s="25">
        <f>_xlfn.IFNA(VLOOKUP(A170,'[1]ETF List'!$A$2:$N$180,14,FALSE)/1000000,"n/a")</f>
        <v>8.7995133400000043</v>
      </c>
      <c r="I170" s="26">
        <f>_xlfn.IFNA(VLOOKUP(A170,'[1]ETF List'!$A:$R,18,FALSE)/1000000,"n/a")</f>
        <v>8.3556000000000008</v>
      </c>
      <c r="J170" s="27">
        <f>_xlfn.IFNA(VLOOKUP(A170,[1]IRESS!$A$10:$F$875,5,FALSE),"n/a")</f>
        <v>9425403.8199999984</v>
      </c>
      <c r="K170" s="28">
        <f>_xlfn.IFNA(VLOOKUP(A170,[1]IRESS!$A$11:$G$684,7,FALSE),"n/a")</f>
        <v>186552</v>
      </c>
      <c r="L170" s="27">
        <f>_xlfn.IFNA(VLOOKUP(A170,[1]IRESS!$A$10:$F$875,4,FALSE),"n/a")</f>
        <v>315</v>
      </c>
      <c r="M170" s="29">
        <f t="shared" si="2"/>
        <v>7.4409014782804719E-2</v>
      </c>
      <c r="N170" s="30">
        <f>_xlfn.IFNA(VLOOKUP(A170,[1]Spreads!$A$1:$G$279,2,FALSE),"n/a")</f>
        <v>2.12954985347039E-3</v>
      </c>
      <c r="O170" s="28">
        <f>IFERROR(VLOOKUP(A170,[1]Spreads!$A$1:$G$279,5,FALSE)/1000,"n/a")</f>
        <v>1806.7517535152801</v>
      </c>
      <c r="P170" s="31">
        <f>IFERROR(VLOOKUP(A170,[1]Spreads!$A$1:$G$279,6,FALSE)/1000,"n/a")</f>
        <v>1479.3505104024898</v>
      </c>
      <c r="Q170" s="9"/>
      <c r="R170" s="32">
        <f>_xlfn.IFNA(VLOOKUP($A170,[1]IRESS!$A$11:$AE$696,6,FALSE)/100,"n/a")</f>
        <v>50.64</v>
      </c>
      <c r="S170" s="33">
        <f>_xlfn.IFNA(VLOOKUP($A170,[1]IRESS!$A$11:$AE$696,21,FALSE)/100,"n/a")</f>
        <v>50.81</v>
      </c>
      <c r="T170" s="32">
        <f>_xlfn.IFNA(VLOOKUP($A170,[1]IRESS!$A$11:$AE$696,22,FALSE)/100,"n/a")</f>
        <v>49.6</v>
      </c>
      <c r="V170" s="34">
        <f>IFERROR((VLOOKUP($A170,[1]IRESS!$A$11:$AE$696,20,FALSE)/100)/R170,"n/a")</f>
        <v>2.443943522906793E-2</v>
      </c>
      <c r="W170" s="35">
        <f>IFERROR(VLOOKUP($A170,[1]Morningstar!$A$2:$F$477,3,FALSE),"n/a")</f>
        <v>3.7000000000000002E-3</v>
      </c>
      <c r="X170" s="34">
        <f>IFERROR(VLOOKUP($A170,[1]Morningstar!$A$2:$F$477,4,FALSE),"n/a")</f>
        <v>3.3500000000000002E-2</v>
      </c>
      <c r="Y170" s="35" t="str">
        <f>IFERROR(VLOOKUP($A170,[1]Morningstar!$A$2:$F$477,5,FALSE),"n/a")</f>
        <v>n/a</v>
      </c>
      <c r="Z170" s="34" t="str">
        <f>IFERROR(VLOOKUP($A170,[1]Morningstar!$A$2:$F$477,6,FALSE),"n/a")</f>
        <v>n/a</v>
      </c>
    </row>
    <row r="171" spans="1:26">
      <c r="A171" s="21" t="s">
        <v>187</v>
      </c>
      <c r="B171" s="22" t="s">
        <v>28</v>
      </c>
      <c r="C171" s="23" t="str">
        <f>VLOOKUP(A171,'[1]ETF List'!$A$3:$B$185,2,FALSE)</f>
        <v>Vanguard Australian Fixed Interest Index ETF</v>
      </c>
      <c r="D171" s="24"/>
      <c r="E171" s="7"/>
      <c r="F171" s="25">
        <f>_xlfn.IFNA(VLOOKUP(A171,'[1]ETF List'!$A$2:$I$180,6,FALSE),"n/a")</f>
        <v>0.2</v>
      </c>
      <c r="G171" s="26">
        <f>_xlfn.IFNA(VLOOKUP(A171,'[1]ETF List'!$A$2:$J$180,8,FALSE)/1000000,"n/a")</f>
        <v>704.84205719999989</v>
      </c>
      <c r="H171" s="25">
        <f>_xlfn.IFNA(VLOOKUP(A171,'[1]ETF List'!$A$2:$N$180,14,FALSE)/1000000,"n/a")</f>
        <v>2.1620921999999285</v>
      </c>
      <c r="I171" s="26">
        <f>_xlfn.IFNA(VLOOKUP(A171,'[1]ETF List'!$A:$R,18,FALSE)/1000000,"n/a")</f>
        <v>-9.1083347797393791E-14</v>
      </c>
      <c r="J171" s="27">
        <f>_xlfn.IFNA(VLOOKUP(A171,[1]IRESS!$A$10:$F$875,5,FALSE),"n/a")</f>
        <v>24557166.510000005</v>
      </c>
      <c r="K171" s="28">
        <f>_xlfn.IFNA(VLOOKUP(A171,[1]IRESS!$A$11:$G$684,7,FALSE),"n/a")</f>
        <v>504136</v>
      </c>
      <c r="L171" s="27">
        <f>_xlfn.IFNA(VLOOKUP(A171,[1]IRESS!$A$10:$F$875,4,FALSE),"n/a")</f>
        <v>1430</v>
      </c>
      <c r="M171" s="29">
        <f t="shared" si="2"/>
        <v>3.4840665733758672E-2</v>
      </c>
      <c r="N171" s="30">
        <f>_xlfn.IFNA(VLOOKUP(A171,[1]Spreads!$A$1:$G$279,2,FALSE),"n/a")</f>
        <v>5.6290464622159005E-4</v>
      </c>
      <c r="O171" s="28">
        <f>IFERROR(VLOOKUP(A171,[1]Spreads!$A$1:$G$279,5,FALSE)/1000,"n/a")</f>
        <v>2860.26678746282</v>
      </c>
      <c r="P171" s="31">
        <f>IFERROR(VLOOKUP(A171,[1]Spreads!$A$1:$G$279,6,FALSE)/1000,"n/a")</f>
        <v>2817.7647234053998</v>
      </c>
      <c r="Q171" s="9"/>
      <c r="R171" s="32">
        <f>_xlfn.IFNA(VLOOKUP($A171,[1]IRESS!$A$11:$AE$696,6,FALSE)/100,"n/a")</f>
        <v>48.9</v>
      </c>
      <c r="S171" s="33">
        <f>_xlfn.IFNA(VLOOKUP($A171,[1]IRESS!$A$11:$AE$696,21,FALSE)/100,"n/a")</f>
        <v>49.39</v>
      </c>
      <c r="T171" s="32">
        <f>_xlfn.IFNA(VLOOKUP($A171,[1]IRESS!$A$11:$AE$696,22,FALSE)/100,"n/a")</f>
        <v>48.07</v>
      </c>
      <c r="V171" s="34">
        <f>IFERROR((VLOOKUP($A171,[1]IRESS!$A$11:$AE$696,20,FALSE)/100)/R171,"n/a")</f>
        <v>2.9059550102249494E-2</v>
      </c>
      <c r="W171" s="35">
        <f>IFERROR(VLOOKUP($A171,[1]Morningstar!$A$2:$F$477,3,FALSE),"n/a")</f>
        <v>6.0000000000000001E-3</v>
      </c>
      <c r="X171" s="34">
        <f>IFERROR(VLOOKUP($A171,[1]Morningstar!$A$2:$F$477,4,FALSE),"n/a")</f>
        <v>2.7300000000000001E-2</v>
      </c>
      <c r="Y171" s="35">
        <f>IFERROR(VLOOKUP($A171,[1]Morningstar!$A$2:$F$477,5,FALSE),"n/a")</f>
        <v>3.1E-2</v>
      </c>
      <c r="Z171" s="34">
        <f>IFERROR(VLOOKUP($A171,[1]Morningstar!$A$2:$F$477,6,FALSE),"n/a")</f>
        <v>4.2299999999999997E-2</v>
      </c>
    </row>
    <row r="172" spans="1:26">
      <c r="A172" s="21" t="s">
        <v>188</v>
      </c>
      <c r="B172" s="22" t="s">
        <v>28</v>
      </c>
      <c r="C172" s="23" t="str">
        <f>VLOOKUP(A172,'[1]ETF List'!$A$3:$B$185,2,FALSE)</f>
        <v>Vanguard Australian Government Bond Index ETF</v>
      </c>
      <c r="D172" s="24"/>
      <c r="E172" s="7"/>
      <c r="F172" s="25">
        <f>_xlfn.IFNA(VLOOKUP(A172,'[1]ETF List'!$A$2:$I$180,6,FALSE),"n/a")</f>
        <v>0.2</v>
      </c>
      <c r="G172" s="26">
        <f>_xlfn.IFNA(VLOOKUP(A172,'[1]ETF List'!$A$2:$J$180,8,FALSE)/1000000,"n/a")</f>
        <v>137.17634040000002</v>
      </c>
      <c r="H172" s="25">
        <f>_xlfn.IFNA(VLOOKUP(A172,'[1]ETF List'!$A$2:$N$180,14,FALSE)/1000000,"n/a")</f>
        <v>0.50186465999999641</v>
      </c>
      <c r="I172" s="26">
        <f>_xlfn.IFNA(VLOOKUP(A172,'[1]ETF List'!$A:$R,18,FALSE)/1000000,"n/a")</f>
        <v>0</v>
      </c>
      <c r="J172" s="27">
        <f>_xlfn.IFNA(VLOOKUP(A172,[1]IRESS!$A$10:$F$875,5,FALSE),"n/a")</f>
        <v>5370206.9950000001</v>
      </c>
      <c r="K172" s="28">
        <f>_xlfn.IFNA(VLOOKUP(A172,[1]IRESS!$A$11:$G$684,7,FALSE),"n/a")</f>
        <v>109729</v>
      </c>
      <c r="L172" s="27">
        <f>_xlfn.IFNA(VLOOKUP(A172,[1]IRESS!$A$10:$F$875,4,FALSE),"n/a")</f>
        <v>380</v>
      </c>
      <c r="M172" s="29">
        <f t="shared" si="2"/>
        <v>3.9148201354116313E-2</v>
      </c>
      <c r="N172" s="30">
        <f>_xlfn.IFNA(VLOOKUP(A172,[1]Spreads!$A$1:$G$279,2,FALSE),"n/a")</f>
        <v>9.09027719507325E-4</v>
      </c>
      <c r="O172" s="28">
        <f>IFERROR(VLOOKUP(A172,[1]Spreads!$A$1:$G$279,5,FALSE)/1000,"n/a")</f>
        <v>2042.3071231142201</v>
      </c>
      <c r="P172" s="31">
        <f>IFERROR(VLOOKUP(A172,[1]Spreads!$A$1:$G$279,6,FALSE)/1000,"n/a")</f>
        <v>2111.8758324852802</v>
      </c>
      <c r="Q172" s="9"/>
      <c r="R172" s="32">
        <f>_xlfn.IFNA(VLOOKUP($A172,[1]IRESS!$A$11:$AE$696,6,FALSE)/100,"n/a")</f>
        <v>49.2</v>
      </c>
      <c r="S172" s="33">
        <f>_xlfn.IFNA(VLOOKUP($A172,[1]IRESS!$A$11:$AE$696,21,FALSE)/100,"n/a")</f>
        <v>49.79</v>
      </c>
      <c r="T172" s="32">
        <f>_xlfn.IFNA(VLOOKUP($A172,[1]IRESS!$A$11:$AE$696,22,FALSE)/100,"n/a")</f>
        <v>48.28</v>
      </c>
      <c r="V172" s="34">
        <f>IFERROR((VLOOKUP($A172,[1]IRESS!$A$11:$AE$696,20,FALSE)/100)/R172,"n/a")</f>
        <v>2.8304186991869918E-2</v>
      </c>
      <c r="W172" s="35">
        <f>IFERROR(VLOOKUP($A172,[1]Morningstar!$A$2:$F$477,3,FALSE),"n/a")</f>
        <v>7.3000000000000001E-3</v>
      </c>
      <c r="X172" s="34">
        <f>IFERROR(VLOOKUP($A172,[1]Morningstar!$A$2:$F$477,4,FALSE),"n/a")</f>
        <v>2.58E-2</v>
      </c>
      <c r="Y172" s="35">
        <f>IFERROR(VLOOKUP($A172,[1]Morningstar!$A$2:$F$477,5,FALSE),"n/a")</f>
        <v>3.0200000000000001E-2</v>
      </c>
      <c r="Z172" s="34">
        <f>IFERROR(VLOOKUP($A172,[1]Morningstar!$A$2:$F$477,6,FALSE),"n/a")</f>
        <v>4.1799999999999997E-2</v>
      </c>
    </row>
    <row r="173" spans="1:26">
      <c r="A173" s="37" t="s">
        <v>189</v>
      </c>
      <c r="B173" s="38"/>
      <c r="C173" s="38"/>
      <c r="D173" s="38"/>
      <c r="E173" s="7"/>
      <c r="F173" s="39"/>
      <c r="G173" s="39"/>
      <c r="H173" s="39"/>
      <c r="I173" s="39"/>
      <c r="J173" s="39"/>
      <c r="K173" s="39"/>
      <c r="L173" s="39"/>
      <c r="M173" s="40"/>
      <c r="N173" s="40"/>
      <c r="O173" s="39"/>
      <c r="P173" s="41"/>
      <c r="Q173" s="9"/>
      <c r="R173" s="42"/>
      <c r="S173" s="42"/>
      <c r="T173" s="42"/>
      <c r="V173" s="43"/>
      <c r="W173" s="44"/>
      <c r="X173" s="44"/>
      <c r="Y173" s="44"/>
      <c r="Z173" s="38"/>
    </row>
    <row r="174" spans="1:26">
      <c r="A174" s="21" t="s">
        <v>190</v>
      </c>
      <c r="B174" s="22" t="s">
        <v>28</v>
      </c>
      <c r="C174" s="23" t="str">
        <f>VLOOKUP(A174,'[1]ETF List'!$A$3:$B$185,2,FALSE)</f>
        <v>iShares Core Global Corporate Bond (AUD Hedged) ETF</v>
      </c>
      <c r="D174" s="24"/>
      <c r="E174" s="7"/>
      <c r="F174" s="25">
        <f>_xlfn.IFNA(VLOOKUP(A174,'[1]ETF List'!$A$2:$I$180,6,FALSE),"n/a")</f>
        <v>0.26</v>
      </c>
      <c r="G174" s="26">
        <f>_xlfn.IFNA(VLOOKUP(A174,'[1]ETF List'!$A$2:$J$180,8,FALSE)/1000000,"n/a")</f>
        <v>80.736219989999995</v>
      </c>
      <c r="H174" s="25">
        <f>_xlfn.IFNA(VLOOKUP(A174,'[1]ETF List'!$A$2:$N$180,14,FALSE)/1000000,"n/a")</f>
        <v>-0.11711085000000894</v>
      </c>
      <c r="I174" s="26">
        <f>_xlfn.IFNA(VLOOKUP(A174,'[1]ETF List'!$A:$R,18,FALSE)/1000000,"n/a")</f>
        <v>0</v>
      </c>
      <c r="J174" s="27">
        <f>_xlfn.IFNA(VLOOKUP(A174,[1]IRESS!$A$10:$F$875,5,FALSE),"n/a")</f>
        <v>3869515.4999999991</v>
      </c>
      <c r="K174" s="28">
        <f>_xlfn.IFNA(VLOOKUP(A174,[1]IRESS!$A$11:$G$684,7,FALSE),"n/a")</f>
        <v>37480</v>
      </c>
      <c r="L174" s="27">
        <f>_xlfn.IFNA(VLOOKUP(A174,[1]IRESS!$A$10:$F$875,4,FALSE),"n/a")</f>
        <v>205</v>
      </c>
      <c r="M174" s="29">
        <f t="shared" si="2"/>
        <v>4.7927875499735782E-2</v>
      </c>
      <c r="N174" s="30">
        <f>_xlfn.IFNA(VLOOKUP(A174,[1]Spreads!$A$1:$G$279,2,FALSE),"n/a")</f>
        <v>3.4410801178648199E-3</v>
      </c>
      <c r="O174" s="28">
        <f>IFERROR(VLOOKUP(A174,[1]Spreads!$A$1:$G$279,5,FALSE)/1000,"n/a")</f>
        <v>990.07699256609499</v>
      </c>
      <c r="P174" s="31">
        <f>IFERROR(VLOOKUP(A174,[1]Spreads!$A$1:$G$279,6,FALSE)/1000,"n/a")</f>
        <v>1130.9156537758802</v>
      </c>
      <c r="Q174" s="9"/>
      <c r="R174" s="32">
        <f>_xlfn.IFNA(VLOOKUP($A174,[1]IRESS!$A$11:$AE$696,6,FALSE)/100,"n/a")</f>
        <v>103.41</v>
      </c>
      <c r="S174" s="33">
        <f>_xlfn.IFNA(VLOOKUP($A174,[1]IRESS!$A$11:$AE$696,21,FALSE)/100,"n/a")</f>
        <v>108.19</v>
      </c>
      <c r="T174" s="32">
        <f>_xlfn.IFNA(VLOOKUP($A174,[1]IRESS!$A$11:$AE$696,22,FALSE)/100,"n/a")</f>
        <v>102.5</v>
      </c>
      <c r="V174" s="34">
        <f>IFERROR((VLOOKUP($A174,[1]IRESS!$A$11:$AE$696,20,FALSE)/100)/R174,"n/a")</f>
        <v>2.7727753602166141E-2</v>
      </c>
      <c r="W174" s="35">
        <f>IFERROR(VLOOKUP($A174,[1]Morningstar!$A$2:$F$477,3,FALSE),"n/a")</f>
        <v>-3.8E-3</v>
      </c>
      <c r="X174" s="34">
        <f>IFERROR(VLOOKUP($A174,[1]Morningstar!$A$2:$F$477,4,FALSE),"n/a")</f>
        <v>-5.0000000000000001E-4</v>
      </c>
      <c r="Y174" s="35" t="str">
        <f>IFERROR(VLOOKUP($A174,[1]Morningstar!$A$2:$F$477,5,FALSE),"n/a")</f>
        <v>n/a</v>
      </c>
      <c r="Z174" s="34" t="str">
        <f>IFERROR(VLOOKUP($A174,[1]Morningstar!$A$2:$F$477,6,FALSE),"n/a")</f>
        <v>n/a</v>
      </c>
    </row>
    <row r="175" spans="1:26">
      <c r="A175" s="21" t="s">
        <v>191</v>
      </c>
      <c r="B175" s="22" t="s">
        <v>28</v>
      </c>
      <c r="C175" s="23" t="str">
        <f>VLOOKUP(A175,'[1]ETF List'!$A$3:$B$185,2,FALSE)</f>
        <v>iShares Global High Yield Bond (AUD Hedged) ETF</v>
      </c>
      <c r="D175" s="24"/>
      <c r="E175" s="7"/>
      <c r="F175" s="25">
        <f>_xlfn.IFNA(VLOOKUP(A175,'[1]ETF List'!$A$2:$I$180,6,FALSE),"n/a")</f>
        <v>0.56000000000000005</v>
      </c>
      <c r="G175" s="26">
        <f>_xlfn.IFNA(VLOOKUP(A175,'[1]ETF List'!$A$2:$J$180,8,FALSE)/1000000,"n/a")</f>
        <v>26.172957719999999</v>
      </c>
      <c r="H175" s="25">
        <f>_xlfn.IFNA(VLOOKUP(A175,'[1]ETF List'!$A$2:$N$180,14,FALSE)/1000000,"n/a")</f>
        <v>1.1125150799999981</v>
      </c>
      <c r="I175" s="26">
        <f>_xlfn.IFNA(VLOOKUP(A175,'[1]ETF List'!$A:$R,18,FALSE)/1000000,"n/a")</f>
        <v>1.045199999999997</v>
      </c>
      <c r="J175" s="27">
        <f>_xlfn.IFNA(VLOOKUP(A175,[1]IRESS!$A$10:$F$875,5,FALSE),"n/a")</f>
        <v>1029366.3400000001</v>
      </c>
      <c r="K175" s="28">
        <f>_xlfn.IFNA(VLOOKUP(A175,[1]IRESS!$A$11:$G$684,7,FALSE),"n/a")</f>
        <v>9754</v>
      </c>
      <c r="L175" s="27">
        <f>_xlfn.IFNA(VLOOKUP(A175,[1]IRESS!$A$10:$F$875,4,FALSE),"n/a")</f>
        <v>75</v>
      </c>
      <c r="M175" s="29">
        <f t="shared" si="2"/>
        <v>3.9329385353089552E-2</v>
      </c>
      <c r="N175" s="30">
        <f>_xlfn.IFNA(VLOOKUP(A175,[1]Spreads!$A$1:$G$279,2,FALSE),"n/a")</f>
        <v>4.5823752232554797E-3</v>
      </c>
      <c r="O175" s="28">
        <f>IFERROR(VLOOKUP(A175,[1]Spreads!$A$1:$G$279,5,FALSE)/1000,"n/a")</f>
        <v>340.724928870074</v>
      </c>
      <c r="P175" s="31">
        <f>IFERROR(VLOOKUP(A175,[1]Spreads!$A$1:$G$279,6,FALSE)/1000,"n/a")</f>
        <v>288.55135142784297</v>
      </c>
      <c r="Q175" s="9"/>
      <c r="R175" s="32">
        <f>_xlfn.IFNA(VLOOKUP($A175,[1]IRESS!$A$11:$AE$696,6,FALSE)/100,"n/a")</f>
        <v>104.52</v>
      </c>
      <c r="S175" s="33">
        <f>_xlfn.IFNA(VLOOKUP($A175,[1]IRESS!$A$11:$AE$696,21,FALSE)/100,"n/a")</f>
        <v>109.85</v>
      </c>
      <c r="T175" s="32">
        <f>_xlfn.IFNA(VLOOKUP($A175,[1]IRESS!$A$11:$AE$696,22,FALSE)/100,"n/a")</f>
        <v>104.01</v>
      </c>
      <c r="V175" s="34">
        <f>IFERROR((VLOOKUP($A175,[1]IRESS!$A$11:$AE$696,20,FALSE)/100)/R175,"n/a")</f>
        <v>4.8214973210868733E-2</v>
      </c>
      <c r="W175" s="35">
        <f>IFERROR(VLOOKUP($A175,[1]Morningstar!$A$2:$F$477,3,FALSE),"n/a")</f>
        <v>-5.1999999999999998E-3</v>
      </c>
      <c r="X175" s="34">
        <f>IFERROR(VLOOKUP($A175,[1]Morningstar!$A$2:$F$477,4,FALSE),"n/a")</f>
        <v>1.12E-2</v>
      </c>
      <c r="Y175" s="35" t="str">
        <f>IFERROR(VLOOKUP($A175,[1]Morningstar!$A$2:$F$477,5,FALSE),"n/a")</f>
        <v>n/a</v>
      </c>
      <c r="Z175" s="34" t="str">
        <f>IFERROR(VLOOKUP($A175,[1]Morningstar!$A$2:$F$477,6,FALSE),"n/a")</f>
        <v>n/a</v>
      </c>
    </row>
    <row r="176" spans="1:26" s="36" customFormat="1">
      <c r="A176" s="21" t="s">
        <v>192</v>
      </c>
      <c r="B176" s="22" t="s">
        <v>28</v>
      </c>
      <c r="C176" s="23" t="str">
        <f>VLOOKUP(A176,'[1]ETF List'!$A$3:$B$185,2,FALSE)</f>
        <v>iShares J.P.Morgan USD Emerging Markets Bond (AUD Hedged) ETF</v>
      </c>
      <c r="D176" s="24"/>
      <c r="E176" s="7"/>
      <c r="F176" s="25">
        <f>_xlfn.IFNA(VLOOKUP(A176,'[1]ETF List'!$A$2:$I$180,6,FALSE),"n/a")</f>
        <v>0.51</v>
      </c>
      <c r="G176" s="26">
        <f>_xlfn.IFNA(VLOOKUP(A176,'[1]ETF List'!$A$2:$J$180,8,FALSE)/1000000,"n/a")</f>
        <v>13.066470560000001</v>
      </c>
      <c r="H176" s="25">
        <f>_xlfn.IFNA(VLOOKUP(A176,'[1]ETF List'!$A$2:$N$180,14,FALSE)/1000000,"n/a")</f>
        <v>-0.32418803999999912</v>
      </c>
      <c r="I176" s="26">
        <f>_xlfn.IFNA(VLOOKUP(A176,'[1]ETF List'!$A:$R,18,FALSE)/1000000,"n/a")</f>
        <v>0</v>
      </c>
      <c r="J176" s="27">
        <f>_xlfn.IFNA(VLOOKUP(A176,[1]IRESS!$A$10:$F$875,5,FALSE),"n/a")</f>
        <v>408192.7</v>
      </c>
      <c r="K176" s="28">
        <f>_xlfn.IFNA(VLOOKUP(A176,[1]IRESS!$A$11:$G$684,7,FALSE),"n/a")</f>
        <v>4055</v>
      </c>
      <c r="L176" s="27">
        <f>_xlfn.IFNA(VLOOKUP(A176,[1]IRESS!$A$10:$F$875,4,FALSE),"n/a")</f>
        <v>27</v>
      </c>
      <c r="M176" s="29">
        <f t="shared" si="2"/>
        <v>3.12397060955074E-2</v>
      </c>
      <c r="N176" s="30">
        <f>_xlfn.IFNA(VLOOKUP(A176,[1]Spreads!$A$1:$G$279,2,FALSE),"n/a")</f>
        <v>4.0909280445717297E-3</v>
      </c>
      <c r="O176" s="28">
        <f>IFERROR(VLOOKUP(A176,[1]Spreads!$A$1:$G$279,5,FALSE)/1000,"n/a")</f>
        <v>334.631771084908</v>
      </c>
      <c r="P176" s="31">
        <f>IFERROR(VLOOKUP(A176,[1]Spreads!$A$1:$G$279,6,FALSE)/1000,"n/a")</f>
        <v>321.592492693888</v>
      </c>
      <c r="Q176" s="9"/>
      <c r="R176" s="32">
        <f>_xlfn.IFNA(VLOOKUP($A176,[1]IRESS!$A$11:$AE$696,6,FALSE)/100,"n/a")</f>
        <v>100.36</v>
      </c>
      <c r="S176" s="33">
        <f>_xlfn.IFNA(VLOOKUP($A176,[1]IRESS!$A$11:$AE$696,21,FALSE)/100,"n/a")</f>
        <v>110.04</v>
      </c>
      <c r="T176" s="32">
        <f>_xlfn.IFNA(VLOOKUP($A176,[1]IRESS!$A$11:$AE$696,22,FALSE)/100,"n/a")</f>
        <v>98.66</v>
      </c>
      <c r="U176" s="7"/>
      <c r="V176" s="34">
        <f>IFERROR((VLOOKUP($A176,[1]IRESS!$A$11:$AE$696,20,FALSE)/100)/R176,"n/a")</f>
        <v>4.1448664806695894E-2</v>
      </c>
      <c r="W176" s="35">
        <f>IFERROR(VLOOKUP($A176,[1]Morningstar!$A$2:$F$477,3,FALSE),"n/a")</f>
        <v>-2.7300000000000001E-2</v>
      </c>
      <c r="X176" s="34">
        <f>IFERROR(VLOOKUP($A176,[1]Morningstar!$A$2:$F$477,4,FALSE),"n/a")</f>
        <v>-3.5299999999999998E-2</v>
      </c>
      <c r="Y176" s="35" t="str">
        <f>IFERROR(VLOOKUP($A176,[1]Morningstar!$A$2:$F$477,5,FALSE),"n/a")</f>
        <v>n/a</v>
      </c>
      <c r="Z176" s="34" t="str">
        <f>IFERROR(VLOOKUP($A176,[1]Morningstar!$A$2:$F$477,6,FALSE),"n/a")</f>
        <v>n/a</v>
      </c>
    </row>
    <row r="177" spans="1:26">
      <c r="A177" s="21" t="s">
        <v>193</v>
      </c>
      <c r="B177" s="22" t="s">
        <v>28</v>
      </c>
      <c r="C177" s="23" t="str">
        <f>VLOOKUP(A177,'[1]ETF List'!$A$3:$B$185,2,FALSE)</f>
        <v>Vanguard Global Aggregate Bond Index (Hedged) ETF</v>
      </c>
      <c r="D177" s="24"/>
      <c r="E177" s="7"/>
      <c r="F177" s="25">
        <f>_xlfn.IFNA(VLOOKUP(A177,'[1]ETF List'!$A$2:$I$180,6,FALSE),"n/a")</f>
        <v>0.2</v>
      </c>
      <c r="G177" s="26">
        <f>_xlfn.IFNA(VLOOKUP(A177,'[1]ETF List'!$A$2:$J$180,8,FALSE)/1000000,"n/a")</f>
        <v>16.725346560000002</v>
      </c>
      <c r="H177" s="25">
        <f>_xlfn.IFNA(VLOOKUP(A177,'[1]ETF List'!$A$2:$N$180,14,FALSE)/1000000,"n/a")</f>
        <v>1.2355982799999994</v>
      </c>
      <c r="I177" s="26">
        <f>_xlfn.IFNA(VLOOKUP(A177,'[1]ETF List'!$A:$R,18,FALSE)/1000000,"n/a")</f>
        <v>1.248</v>
      </c>
      <c r="J177" s="27">
        <f>_xlfn.IFNA(VLOOKUP(A177,[1]IRESS!$A$10:$F$875,5,FALSE),"n/a")</f>
        <v>2734194.0200000005</v>
      </c>
      <c r="K177" s="28">
        <f>_xlfn.IFNA(VLOOKUP(A177,[1]IRESS!$A$11:$G$684,7,FALSE),"n/a")</f>
        <v>54747</v>
      </c>
      <c r="L177" s="27">
        <f>_xlfn.IFNA(VLOOKUP(A177,[1]IRESS!$A$10:$F$875,4,FALSE),"n/a")</f>
        <v>89</v>
      </c>
      <c r="M177" s="29">
        <f t="shared" si="2"/>
        <v>0.16347607567899627</v>
      </c>
      <c r="N177" s="30">
        <f>_xlfn.IFNA(VLOOKUP(A177,[1]Spreads!$A$1:$G$279,2,FALSE),"n/a")</f>
        <v>3.4073960625547301E-3</v>
      </c>
      <c r="O177" s="28">
        <f>IFERROR(VLOOKUP(A177,[1]Spreads!$A$1:$G$279,5,FALSE)/1000,"n/a")</f>
        <v>961.20768123092</v>
      </c>
      <c r="P177" s="31">
        <f>IFERROR(VLOOKUP(A177,[1]Spreads!$A$1:$G$279,6,FALSE)/1000,"n/a")</f>
        <v>1013.74012260872</v>
      </c>
      <c r="Q177" s="9"/>
      <c r="R177" s="32">
        <f>_xlfn.IFNA(VLOOKUP($A177,[1]IRESS!$A$11:$AE$696,6,FALSE)/100,"n/a")</f>
        <v>49.92</v>
      </c>
      <c r="S177" s="33">
        <f>_xlfn.IFNA(VLOOKUP($A177,[1]IRESS!$A$11:$AE$696,21,FALSE)/100,"n/a")</f>
        <v>50.68</v>
      </c>
      <c r="T177" s="32">
        <f>_xlfn.IFNA(VLOOKUP($A177,[1]IRESS!$A$11:$AE$696,22,FALSE)/100,"n/a")</f>
        <v>49.51</v>
      </c>
      <c r="V177" s="34">
        <f>IFERROR((VLOOKUP($A177,[1]IRESS!$A$11:$AE$696,20,FALSE)/100)/R177,"n/a")</f>
        <v>9.3561698717948717E-3</v>
      </c>
      <c r="W177" s="35">
        <f>IFERROR(VLOOKUP($A177,[1]Morningstar!$A$2:$F$477,3,FALSE),"n/a")</f>
        <v>2.5999999999999999E-3</v>
      </c>
      <c r="X177" s="34" t="str">
        <f>IFERROR(VLOOKUP($A177,[1]Morningstar!$A$2:$F$477,4,FALSE),"n/a")</f>
        <v>n/a</v>
      </c>
      <c r="Y177" s="35" t="str">
        <f>IFERROR(VLOOKUP($A177,[1]Morningstar!$A$2:$F$477,5,FALSE),"n/a")</f>
        <v>n/a</v>
      </c>
      <c r="Z177" s="34" t="str">
        <f>IFERROR(VLOOKUP($A177,[1]Morningstar!$A$2:$F$477,6,FALSE),"n/a")</f>
        <v>n/a</v>
      </c>
    </row>
    <row r="178" spans="1:26">
      <c r="A178" s="21" t="s">
        <v>194</v>
      </c>
      <c r="B178" s="22" t="s">
        <v>28</v>
      </c>
      <c r="C178" s="23" t="str">
        <f>VLOOKUP(A178,'[1]ETF List'!$A$3:$B$185,2,FALSE)</f>
        <v>Vanguard International Credit Securities Index (Hedged) ETF</v>
      </c>
      <c r="D178" s="24"/>
      <c r="E178" s="7"/>
      <c r="F178" s="25">
        <f>_xlfn.IFNA(VLOOKUP(A178,'[1]ETF List'!$A$2:$I$180,6,FALSE),"n/a")</f>
        <v>0.3</v>
      </c>
      <c r="G178" s="26">
        <f>_xlfn.IFNA(VLOOKUP(A178,'[1]ETF List'!$A$2:$J$180,8,FALSE)/1000000,"n/a")</f>
        <v>99.424680599999988</v>
      </c>
      <c r="H178" s="25">
        <f>_xlfn.IFNA(VLOOKUP(A178,'[1]ETF List'!$A$2:$N$180,14,FALSE)/1000000,"n/a")</f>
        <v>-0.944802900000006</v>
      </c>
      <c r="I178" s="26">
        <f>_xlfn.IFNA(VLOOKUP(A178,'[1]ETF List'!$A:$R,18,FALSE)/1000000,"n/a")</f>
        <v>-0.71309999999999996</v>
      </c>
      <c r="J178" s="27">
        <f>_xlfn.IFNA(VLOOKUP(A178,[1]IRESS!$A$10:$F$875,5,FALSE),"n/a")</f>
        <v>4039124.0049999999</v>
      </c>
      <c r="K178" s="28">
        <f>_xlfn.IFNA(VLOOKUP(A178,[1]IRESS!$A$11:$G$684,7,FALSE),"n/a")</f>
        <v>85283</v>
      </c>
      <c r="L178" s="27">
        <f>_xlfn.IFNA(VLOOKUP(A178,[1]IRESS!$A$10:$F$875,4,FALSE),"n/a")</f>
        <v>472</v>
      </c>
      <c r="M178" s="29">
        <f t="shared" si="2"/>
        <v>4.0624963345368796E-2</v>
      </c>
      <c r="N178" s="30">
        <f>_xlfn.IFNA(VLOOKUP(A178,[1]Spreads!$A$1:$G$279,2,FALSE),"n/a")</f>
        <v>2.7929718882480198E-3</v>
      </c>
      <c r="O178" s="28">
        <f>IFERROR(VLOOKUP(A178,[1]Spreads!$A$1:$G$279,5,FALSE)/1000,"n/a")</f>
        <v>815.59909532322501</v>
      </c>
      <c r="P178" s="31">
        <f>IFERROR(VLOOKUP(A178,[1]Spreads!$A$1:$G$279,6,FALSE)/1000,"n/a")</f>
        <v>940.68444355834606</v>
      </c>
      <c r="Q178" s="9"/>
      <c r="R178" s="32">
        <f>_xlfn.IFNA(VLOOKUP($A178,[1]IRESS!$A$11:$AE$696,6,FALSE)/100,"n/a")</f>
        <v>47.54</v>
      </c>
      <c r="S178" s="33">
        <f>_xlfn.IFNA(VLOOKUP($A178,[1]IRESS!$A$11:$AE$696,21,FALSE)/100,"n/a")</f>
        <v>51</v>
      </c>
      <c r="T178" s="32">
        <f>_xlfn.IFNA(VLOOKUP($A178,[1]IRESS!$A$11:$AE$696,22,FALSE)/100,"n/a")</f>
        <v>46.39</v>
      </c>
      <c r="V178" s="34">
        <f>IFERROR((VLOOKUP($A178,[1]IRESS!$A$11:$AE$696,20,FALSE)/100)/R178,"n/a")</f>
        <v>6.0460748843079504E-2</v>
      </c>
      <c r="W178" s="35">
        <f>IFERROR(VLOOKUP($A178,[1]Morningstar!$A$2:$F$477,3,FALSE),"n/a")</f>
        <v>3.5000000000000001E-3</v>
      </c>
      <c r="X178" s="34">
        <f>IFERROR(VLOOKUP($A178,[1]Morningstar!$A$2:$F$477,4,FALSE),"n/a")</f>
        <v>7.3000000000000001E-3</v>
      </c>
      <c r="Y178" s="35" t="str">
        <f>IFERROR(VLOOKUP($A178,[1]Morningstar!$A$2:$F$477,5,FALSE),"n/a")</f>
        <v>n/a</v>
      </c>
      <c r="Z178" s="34" t="str">
        <f>IFERROR(VLOOKUP($A178,[1]Morningstar!$A$2:$F$477,6,FALSE),"n/a")</f>
        <v>n/a</v>
      </c>
    </row>
    <row r="179" spans="1:26">
      <c r="A179" s="21" t="s">
        <v>195</v>
      </c>
      <c r="B179" s="22" t="s">
        <v>28</v>
      </c>
      <c r="C179" s="23" t="str">
        <f>VLOOKUP(A179,'[1]ETF List'!$A$3:$B$185,2,FALSE)</f>
        <v>Vanguard International Fixed Interest Index (Hedged) ETF</v>
      </c>
      <c r="D179" s="24"/>
      <c r="E179" s="7"/>
      <c r="F179" s="25">
        <f>_xlfn.IFNA(VLOOKUP(A179,'[1]ETF List'!$A$2:$I$180,6,FALSE),"n/a")</f>
        <v>0.2</v>
      </c>
      <c r="G179" s="26">
        <f>_xlfn.IFNA(VLOOKUP(A179,'[1]ETF List'!$A$2:$J$180,8,FALSE)/1000000,"n/a")</f>
        <v>196.25073155999999</v>
      </c>
      <c r="H179" s="25">
        <f>_xlfn.IFNA(VLOOKUP(A179,'[1]ETF List'!$A$2:$N$180,14,FALSE)/1000000,"n/a")</f>
        <v>6.9778108200000224</v>
      </c>
      <c r="I179" s="26">
        <f>_xlfn.IFNA(VLOOKUP(A179,'[1]ETF List'!$A:$R,18,FALSE)/1000000,"n/a")</f>
        <v>5.3196000000000225</v>
      </c>
      <c r="J179" s="27">
        <f>_xlfn.IFNA(VLOOKUP(A179,[1]IRESS!$A$10:$F$875,5,FALSE),"n/a")</f>
        <v>13764539.034999991</v>
      </c>
      <c r="K179" s="28">
        <f>_xlfn.IFNA(VLOOKUP(A179,[1]IRESS!$A$11:$G$684,7,FALSE),"n/a")</f>
        <v>286521</v>
      </c>
      <c r="L179" s="27">
        <f>_xlfn.IFNA(VLOOKUP(A179,[1]IRESS!$A$10:$F$875,4,FALSE),"n/a")</f>
        <v>1049</v>
      </c>
      <c r="M179" s="29">
        <f t="shared" si="2"/>
        <v>7.0137517071072616E-2</v>
      </c>
      <c r="N179" s="30">
        <f>_xlfn.IFNA(VLOOKUP(A179,[1]Spreads!$A$1:$G$279,2,FALSE),"n/a")</f>
        <v>2.4300971846701398E-3</v>
      </c>
      <c r="O179" s="28">
        <f>IFERROR(VLOOKUP(A179,[1]Spreads!$A$1:$G$279,5,FALSE)/1000,"n/a")</f>
        <v>1014.33491334371</v>
      </c>
      <c r="P179" s="31">
        <f>IFERROR(VLOOKUP(A179,[1]Spreads!$A$1:$G$279,6,FALSE)/1000,"n/a")</f>
        <v>1185.77199703823</v>
      </c>
      <c r="Q179" s="9"/>
      <c r="R179" s="32">
        <f>_xlfn.IFNA(VLOOKUP($A179,[1]IRESS!$A$11:$AE$696,6,FALSE)/100,"n/a")</f>
        <v>48.36</v>
      </c>
      <c r="S179" s="33">
        <f>_xlfn.IFNA(VLOOKUP($A179,[1]IRESS!$A$11:$AE$696,21,FALSE)/100,"n/a")</f>
        <v>50</v>
      </c>
      <c r="T179" s="32">
        <f>_xlfn.IFNA(VLOOKUP($A179,[1]IRESS!$A$11:$AE$696,22,FALSE)/100,"n/a")</f>
        <v>47.05</v>
      </c>
      <c r="V179" s="34">
        <f>IFERROR((VLOOKUP($A179,[1]IRESS!$A$11:$AE$696,20,FALSE)/100)/R179,"n/a")</f>
        <v>3.9342700578990905E-2</v>
      </c>
      <c r="W179" s="35">
        <f>IFERROR(VLOOKUP($A179,[1]Morningstar!$A$2:$F$477,3,FALSE),"n/a")</f>
        <v>8.5000000000000006E-3</v>
      </c>
      <c r="X179" s="34">
        <f>IFERROR(VLOOKUP($A179,[1]Morningstar!$A$2:$F$477,4,FALSE),"n/a")</f>
        <v>2.23E-2</v>
      </c>
      <c r="Y179" s="35" t="str">
        <f>IFERROR(VLOOKUP($A179,[1]Morningstar!$A$2:$F$477,5,FALSE),"n/a")</f>
        <v>n/a</v>
      </c>
      <c r="Z179" s="34" t="str">
        <f>IFERROR(VLOOKUP($A179,[1]Morningstar!$A$2:$F$477,6,FALSE),"n/a")</f>
        <v>n/a</v>
      </c>
    </row>
    <row r="180" spans="1:26">
      <c r="A180" s="37" t="s">
        <v>196</v>
      </c>
      <c r="B180" s="38"/>
      <c r="C180" s="38"/>
      <c r="D180" s="38"/>
      <c r="E180" s="7"/>
      <c r="F180" s="39"/>
      <c r="G180" s="39"/>
      <c r="H180" s="39"/>
      <c r="I180" s="39"/>
      <c r="J180" s="39"/>
      <c r="K180" s="39"/>
      <c r="L180" s="39"/>
      <c r="M180" s="40"/>
      <c r="N180" s="40"/>
      <c r="O180" s="39"/>
      <c r="P180" s="41"/>
      <c r="Q180" s="9"/>
      <c r="R180" s="42"/>
      <c r="S180" s="42"/>
      <c r="T180" s="42"/>
      <c r="V180" s="43"/>
      <c r="W180" s="44"/>
      <c r="X180" s="44"/>
      <c r="Y180" s="44"/>
      <c r="Z180" s="38"/>
    </row>
    <row r="181" spans="1:26">
      <c r="A181" s="21" t="s">
        <v>197</v>
      </c>
      <c r="B181" s="22" t="s">
        <v>43</v>
      </c>
      <c r="C181" s="23" t="str">
        <f>VLOOKUP(A181,'[1]ETF List'!$A$3:$B$185,2,FALSE)</f>
        <v>AMP Capital Dynamic Markets Fund (Hedge Fund)</v>
      </c>
      <c r="D181" s="24"/>
      <c r="E181" s="7"/>
      <c r="F181" s="25">
        <f>_xlfn.IFNA(VLOOKUP(A181,'[1]ETF List'!$A$2:$I$180,6,FALSE),"n/a")</f>
        <v>0.5</v>
      </c>
      <c r="G181" s="26">
        <f>_xlfn.IFNA(VLOOKUP(A181,'[1]ETF List'!$A$2:$J$180,8,FALSE)/1000000,"n/a")</f>
        <v>28.852656959999997</v>
      </c>
      <c r="H181" s="25">
        <f>_xlfn.IFNA(VLOOKUP(A181,'[1]ETF List'!$A$2:$N$180,14,FALSE)/1000000,"n/a")</f>
        <v>-0.18384056000000612</v>
      </c>
      <c r="I181" s="26">
        <f>_xlfn.IFNA(VLOOKUP(A181,'[1]ETF List'!$A:$R,18,FALSE)/1000000,"n/a")</f>
        <v>0.35788513999999999</v>
      </c>
      <c r="J181" s="27">
        <f>_xlfn.IFNA(VLOOKUP(A181,[1]IRESS!$A$10:$F$875,5,FALSE),"n/a")</f>
        <v>865882.29999999981</v>
      </c>
      <c r="K181" s="28">
        <f>_xlfn.IFNA(VLOOKUP(A181,[1]IRESS!$A$11:$G$684,7,FALSE),"n/a")</f>
        <v>325525</v>
      </c>
      <c r="L181" s="27">
        <f>_xlfn.IFNA(VLOOKUP(A181,[1]IRESS!$A$10:$F$875,4,FALSE),"n/a")</f>
        <v>47</v>
      </c>
      <c r="M181" s="29">
        <f t="shared" si="2"/>
        <v>3.0010487463959363E-2</v>
      </c>
      <c r="N181" s="30">
        <f>_xlfn.IFNA(VLOOKUP(A181,[1]Spreads!$A$1:$G$279,2,FALSE),"n/a")</f>
        <v>7.30468018412245E-3</v>
      </c>
      <c r="O181" s="28">
        <f>IFERROR(VLOOKUP(A181,[1]Spreads!$A$1:$G$279,5,FALSE)/1000,"n/a")</f>
        <v>710.56302462343695</v>
      </c>
      <c r="P181" s="31">
        <f>IFERROR(VLOOKUP(A181,[1]Spreads!$A$1:$G$279,6,FALSE)/1000,"n/a")</f>
        <v>719.57209319703998</v>
      </c>
      <c r="Q181" s="9"/>
      <c r="R181" s="32">
        <f>_xlfn.IFNA(VLOOKUP($A181,[1]IRESS!$A$11:$AE$696,6,FALSE)/100,"n/a")</f>
        <v>2.63</v>
      </c>
      <c r="S181" s="33">
        <f>_xlfn.IFNA(VLOOKUP($A181,[1]IRESS!$A$11:$AE$696,21,FALSE)/100,"n/a")</f>
        <v>2.73</v>
      </c>
      <c r="T181" s="32">
        <f>_xlfn.IFNA(VLOOKUP($A181,[1]IRESS!$A$11:$AE$696,22,FALSE)/100,"n/a")</f>
        <v>2.5</v>
      </c>
      <c r="V181" s="34">
        <f>IFERROR((VLOOKUP($A181,[1]IRESS!$A$11:$AE$696,20,FALSE)/100)/R181,"n/a")</f>
        <v>2.7968821292775666E-2</v>
      </c>
      <c r="W181" s="35">
        <f>IFERROR(VLOOKUP($A181,[1]Morningstar!$A$2:$F$477,3,FALSE),"n/a")</f>
        <v>-1.8599999999999998E-2</v>
      </c>
      <c r="X181" s="34">
        <f>IFERROR(VLOOKUP($A181,[1]Morningstar!$A$2:$F$477,4,FALSE),"n/a")</f>
        <v>5.4399999999999997E-2</v>
      </c>
      <c r="Y181" s="35" t="str">
        <f>IFERROR(VLOOKUP($A181,[1]Morningstar!$A$2:$F$477,5,FALSE),"n/a")</f>
        <v>n/a</v>
      </c>
      <c r="Z181" s="34" t="str">
        <f>IFERROR(VLOOKUP($A181,[1]Morningstar!$A$2:$F$477,6,FALSE),"n/a")</f>
        <v>n/a</v>
      </c>
    </row>
    <row r="182" spans="1:26">
      <c r="A182" s="21" t="s">
        <v>198</v>
      </c>
      <c r="B182" s="22" t="s">
        <v>43</v>
      </c>
      <c r="C182" s="23" t="str">
        <f>VLOOKUP(A182,'[1]ETF List'!$A$3:$B$185,2,FALSE)</f>
        <v>Schroder Real Return Fund (Managed Fund)</v>
      </c>
      <c r="D182" s="24"/>
      <c r="E182" s="7"/>
      <c r="F182" s="25">
        <f>_xlfn.IFNA(VLOOKUP(A182,'[1]ETF List'!$A$2:$I$180,6,FALSE),"n/a")</f>
        <v>0.9</v>
      </c>
      <c r="G182" s="26">
        <f>_xlfn.IFNA(VLOOKUP(A182,'[1]ETF List'!$A$2:$J$180,8,FALSE)/1000000,"n/a")</f>
        <v>47.150790900000004</v>
      </c>
      <c r="H182" s="25">
        <f>_xlfn.IFNA(VLOOKUP(A182,'[1]ETF List'!$A$2:$N$180,14,FALSE)/1000000,"n/a")</f>
        <v>0.40577986000000688</v>
      </c>
      <c r="I182" s="26">
        <f>_xlfn.IFNA(VLOOKUP(A182,'[1]ETF List'!$A:$R,18,FALSE)/1000000,"n/a")</f>
        <v>-0.36474229999999314</v>
      </c>
      <c r="J182" s="27">
        <f>_xlfn.IFNA(VLOOKUP(A182,[1]IRESS!$A$10:$F$875,5,FALSE),"n/a")</f>
        <v>1993550.86</v>
      </c>
      <c r="K182" s="28">
        <f>_xlfn.IFNA(VLOOKUP(A182,[1]IRESS!$A$11:$G$684,7,FALSE),"n/a")</f>
        <v>543796</v>
      </c>
      <c r="L182" s="27">
        <f>_xlfn.IFNA(VLOOKUP(A182,[1]IRESS!$A$10:$F$875,4,FALSE),"n/a")</f>
        <v>60</v>
      </c>
      <c r="M182" s="29">
        <f t="shared" si="2"/>
        <v>4.2280327051735622E-2</v>
      </c>
      <c r="N182" s="30">
        <f>_xlfn.IFNA(VLOOKUP(A182,[1]Spreads!$A$1:$G$279,2,FALSE),"n/a")</f>
        <v>5.3974708002274899E-3</v>
      </c>
      <c r="O182" s="28">
        <f>IFERROR(VLOOKUP(A182,[1]Spreads!$A$1:$G$279,5,FALSE)/1000,"n/a")</f>
        <v>1101.94013828535</v>
      </c>
      <c r="P182" s="31">
        <f>IFERROR(VLOOKUP(A182,[1]Spreads!$A$1:$G$279,6,FALSE)/1000,"n/a")</f>
        <v>1118.7849813565399</v>
      </c>
      <c r="Q182" s="9"/>
      <c r="R182" s="32">
        <f>_xlfn.IFNA(VLOOKUP($A182,[1]IRESS!$A$11:$AE$696,6,FALSE)/100,"n/a")</f>
        <v>3.7</v>
      </c>
      <c r="S182" s="33">
        <f>_xlfn.IFNA(VLOOKUP($A182,[1]IRESS!$A$11:$AE$696,21,FALSE)/100,"n/a")</f>
        <v>3.72</v>
      </c>
      <c r="T182" s="32">
        <f>_xlfn.IFNA(VLOOKUP($A182,[1]IRESS!$A$11:$AE$696,22,FALSE)/100,"n/a")</f>
        <v>3.58</v>
      </c>
      <c r="V182" s="34">
        <f>IFERROR((VLOOKUP($A182,[1]IRESS!$A$11:$AE$696,20,FALSE)/100)/R182,"n/a")</f>
        <v>3.3921351351351353E-2</v>
      </c>
      <c r="W182" s="35">
        <f>IFERROR(VLOOKUP($A182,[1]Morningstar!$A$2:$F$477,3,FALSE),"n/a")</f>
        <v>8.2000000000000007E-3</v>
      </c>
      <c r="X182" s="34">
        <f>IFERROR(VLOOKUP($A182,[1]Morningstar!$A$2:$F$477,4,FALSE),"n/a")</f>
        <v>4.3200000000000002E-2</v>
      </c>
      <c r="Y182" s="35" t="str">
        <f>IFERROR(VLOOKUP($A182,[1]Morningstar!$A$2:$F$477,5,FALSE),"n/a")</f>
        <v>n/a</v>
      </c>
      <c r="Z182" s="34" t="str">
        <f>IFERROR(VLOOKUP($A182,[1]Morningstar!$A$2:$F$477,6,FALSE),"n/a")</f>
        <v>n/a</v>
      </c>
    </row>
    <row r="183" spans="1:26" s="36" customFormat="1">
      <c r="A183" s="21" t="s">
        <v>199</v>
      </c>
      <c r="B183" s="22" t="s">
        <v>28</v>
      </c>
      <c r="C183" s="23" t="str">
        <f>VLOOKUP(A183,'[1]ETF List'!$A$3:$B$185,2,FALSE)</f>
        <v>Vanguard Diversified Conservative Index ETF</v>
      </c>
      <c r="D183" s="24"/>
      <c r="E183" s="7"/>
      <c r="F183" s="25">
        <f>_xlfn.IFNA(VLOOKUP(A183,'[1]ETF List'!$A$2:$I$180,6,FALSE),"n/a")</f>
        <v>0.27</v>
      </c>
      <c r="G183" s="26">
        <f>_xlfn.IFNA(VLOOKUP(A183,'[1]ETF List'!$A$2:$J$180,8,FALSE)/1000000,"n/a")</f>
        <v>9.6748345800000006</v>
      </c>
      <c r="H183" s="25">
        <f>_xlfn.IFNA(VLOOKUP(A183,'[1]ETF List'!$A$2:$N$180,14,FALSE)/1000000,"n/a")</f>
        <v>2.0889132999999998</v>
      </c>
      <c r="I183" s="26">
        <f>_xlfn.IFNA(VLOOKUP(A183,'[1]ETF List'!$A:$R,18,FALSE)/1000000,"n/a")</f>
        <v>2.0364</v>
      </c>
      <c r="J183" s="27">
        <f>_xlfn.IFNA(VLOOKUP(A183,[1]IRESS!$A$10:$F$875,5,FALSE),"n/a")</f>
        <v>2358718.9899999998</v>
      </c>
      <c r="K183" s="28">
        <f>_xlfn.IFNA(VLOOKUP(A183,[1]IRESS!$A$11:$G$684,7,FALSE),"n/a")</f>
        <v>46541</v>
      </c>
      <c r="L183" s="27">
        <f>_xlfn.IFNA(VLOOKUP(A183,[1]IRESS!$A$10:$F$875,4,FALSE),"n/a")</f>
        <v>34</v>
      </c>
      <c r="M183" s="29">
        <f t="shared" si="2"/>
        <v>0.24379941284742873</v>
      </c>
      <c r="N183" s="30">
        <f>_xlfn.IFNA(VLOOKUP(A183,[1]Spreads!$A$1:$G$279,2,FALSE),"n/a")</f>
        <v>2.62641770722283E-3</v>
      </c>
      <c r="O183" s="28">
        <f>IFERROR(VLOOKUP(A183,[1]Spreads!$A$1:$G$279,5,FALSE)/1000,"n/a")</f>
        <v>595.22813018695911</v>
      </c>
      <c r="P183" s="31">
        <f>IFERROR(VLOOKUP(A183,[1]Spreads!$A$1:$G$279,6,FALSE)/1000,"n/a")</f>
        <v>534.17748162821511</v>
      </c>
      <c r="Q183" s="9"/>
      <c r="R183" s="32">
        <f>_xlfn.IFNA(VLOOKUP($A183,[1]IRESS!$A$11:$AE$696,6,FALSE)/100,"n/a")</f>
        <v>50.9</v>
      </c>
      <c r="S183" s="33">
        <f>_xlfn.IFNA(VLOOKUP($A183,[1]IRESS!$A$11:$AE$696,21,FALSE)/100,"n/a")</f>
        <v>51.01</v>
      </c>
      <c r="T183" s="32">
        <f>_xlfn.IFNA(VLOOKUP($A183,[1]IRESS!$A$11:$AE$696,22,FALSE)/100,"n/a")</f>
        <v>49.34</v>
      </c>
      <c r="U183" s="7"/>
      <c r="V183" s="34">
        <f>IFERROR((VLOOKUP($A183,[1]IRESS!$A$11:$AE$696,20,FALSE)/100)/R183,"n/a")</f>
        <v>6.6315520628683691E-3</v>
      </c>
      <c r="W183" s="35">
        <f>IFERROR(VLOOKUP($A183,[1]Morningstar!$A$2:$F$477,3,FALSE),"n/a")</f>
        <v>8.3000000000000001E-3</v>
      </c>
      <c r="X183" s="34" t="str">
        <f>IFERROR(VLOOKUP($A183,[1]Morningstar!$A$2:$F$477,4,FALSE),"n/a")</f>
        <v>n/a</v>
      </c>
      <c r="Y183" s="35" t="str">
        <f>IFERROR(VLOOKUP($A183,[1]Morningstar!$A$2:$F$477,5,FALSE),"n/a")</f>
        <v>n/a</v>
      </c>
      <c r="Z183" s="34" t="str">
        <f>IFERROR(VLOOKUP($A183,[1]Morningstar!$A$2:$F$477,6,FALSE),"n/a")</f>
        <v>n/a</v>
      </c>
    </row>
    <row r="184" spans="1:26">
      <c r="A184" s="21" t="s">
        <v>200</v>
      </c>
      <c r="B184" s="22" t="s">
        <v>28</v>
      </c>
      <c r="C184" s="23" t="str">
        <f>VLOOKUP(A184,'[1]ETF List'!$A$3:$B$185,2,FALSE)</f>
        <v>Vanguard Diversified Balanced Index ETF</v>
      </c>
      <c r="D184" s="24"/>
      <c r="E184" s="7"/>
      <c r="F184" s="25">
        <f>_xlfn.IFNA(VLOOKUP(A184,'[1]ETF List'!$A$2:$I$180,6,FALSE),"n/a")</f>
        <v>0.27</v>
      </c>
      <c r="G184" s="26">
        <f>_xlfn.IFNA(VLOOKUP(A184,'[1]ETF List'!$A$2:$J$180,8,FALSE)/1000000,"n/a")</f>
        <v>23.650887599999997</v>
      </c>
      <c r="H184" s="25">
        <f>_xlfn.IFNA(VLOOKUP(A184,'[1]ETF List'!$A$2:$N$180,14,FALSE)/1000000,"n/a")</f>
        <v>4.2982656600000002</v>
      </c>
      <c r="I184" s="26">
        <f>_xlfn.IFNA(VLOOKUP(A184,'[1]ETF List'!$A:$R,18,FALSE)/1000000,"n/a")</f>
        <v>4.1119999999999965</v>
      </c>
      <c r="J184" s="27">
        <f>_xlfn.IFNA(VLOOKUP(A184,[1]IRESS!$A$10:$F$875,5,FALSE),"n/a")</f>
        <v>4764523.18</v>
      </c>
      <c r="K184" s="28">
        <f>_xlfn.IFNA(VLOOKUP(A184,[1]IRESS!$A$11:$G$684,7,FALSE),"n/a")</f>
        <v>93070</v>
      </c>
      <c r="L184" s="27">
        <f>_xlfn.IFNA(VLOOKUP(A184,[1]IRESS!$A$10:$F$875,4,FALSE),"n/a")</f>
        <v>97</v>
      </c>
      <c r="M184" s="29">
        <f t="shared" si="2"/>
        <v>0.20145219327836136</v>
      </c>
      <c r="N184" s="30">
        <f>_xlfn.IFNA(VLOOKUP(A184,[1]Spreads!$A$1:$G$279,2,FALSE),"n/a")</f>
        <v>2.1278051378539999E-3</v>
      </c>
      <c r="O184" s="28">
        <f>IFERROR(VLOOKUP(A184,[1]Spreads!$A$1:$G$279,5,FALSE)/1000,"n/a")</f>
        <v>712.12387241286399</v>
      </c>
      <c r="P184" s="31">
        <f>IFERROR(VLOOKUP(A184,[1]Spreads!$A$1:$G$279,6,FALSE)/1000,"n/a")</f>
        <v>528.70450209475598</v>
      </c>
      <c r="Q184" s="9"/>
      <c r="R184" s="32">
        <f>_xlfn.IFNA(VLOOKUP($A184,[1]IRESS!$A$11:$AE$696,6,FALSE)/100,"n/a")</f>
        <v>51.4</v>
      </c>
      <c r="S184" s="33">
        <f>_xlfn.IFNA(VLOOKUP($A184,[1]IRESS!$A$11:$AE$696,21,FALSE)/100,"n/a")</f>
        <v>51.68</v>
      </c>
      <c r="T184" s="32">
        <f>_xlfn.IFNA(VLOOKUP($A184,[1]IRESS!$A$11:$AE$696,22,FALSE)/100,"n/a")</f>
        <v>49.18</v>
      </c>
      <c r="V184" s="34">
        <f>IFERROR((VLOOKUP($A184,[1]IRESS!$A$11:$AE$696,20,FALSE)/100)/R184,"n/a")</f>
        <v>7.3403501945525284E-3</v>
      </c>
      <c r="W184" s="35">
        <f>IFERROR(VLOOKUP($A184,[1]Morningstar!$A$2:$F$477,3,FALSE),"n/a")</f>
        <v>0.01</v>
      </c>
      <c r="X184" s="34" t="str">
        <f>IFERROR(VLOOKUP($A184,[1]Morningstar!$A$2:$F$477,4,FALSE),"n/a")</f>
        <v>n/a</v>
      </c>
      <c r="Y184" s="35" t="str">
        <f>IFERROR(VLOOKUP($A184,[1]Morningstar!$A$2:$F$477,5,FALSE),"n/a")</f>
        <v>n/a</v>
      </c>
      <c r="Z184" s="34" t="str">
        <f>IFERROR(VLOOKUP($A184,[1]Morningstar!$A$2:$F$477,6,FALSE),"n/a")</f>
        <v>n/a</v>
      </c>
    </row>
    <row r="185" spans="1:26">
      <c r="A185" s="21" t="s">
        <v>201</v>
      </c>
      <c r="B185" s="22" t="s">
        <v>28</v>
      </c>
      <c r="C185" s="23" t="str">
        <f>VLOOKUP(A185,'[1]ETF List'!$A$3:$B$185,2,FALSE)</f>
        <v>Vanguard Diversified Growth Index ETF</v>
      </c>
      <c r="D185" s="24"/>
      <c r="E185" s="7"/>
      <c r="F185" s="25">
        <f>_xlfn.IFNA(VLOOKUP(A185,'[1]ETF List'!$A$2:$I$180,6,FALSE),"n/a")</f>
        <v>0.27</v>
      </c>
      <c r="G185" s="26">
        <f>_xlfn.IFNA(VLOOKUP(A185,'[1]ETF List'!$A$2:$J$180,8,FALSE)/1000000,"n/a")</f>
        <v>33.424364400000002</v>
      </c>
      <c r="H185" s="25">
        <f>_xlfn.IFNA(VLOOKUP(A185,'[1]ETF List'!$A$2:$N$180,14,FALSE)/1000000,"n/a")</f>
        <v>7.0586125399999995</v>
      </c>
      <c r="I185" s="26">
        <f>_xlfn.IFNA(VLOOKUP(A185,'[1]ETF List'!$A:$R,18,FALSE)/1000000,"n/a")</f>
        <v>6.734</v>
      </c>
      <c r="J185" s="27">
        <f>_xlfn.IFNA(VLOOKUP(A185,[1]IRESS!$A$10:$F$875,5,FALSE),"n/a")</f>
        <v>7017197.2299999995</v>
      </c>
      <c r="K185" s="28">
        <f>_xlfn.IFNA(VLOOKUP(A185,[1]IRESS!$A$11:$G$684,7,FALSE),"n/a")</f>
        <v>135818</v>
      </c>
      <c r="L185" s="27">
        <f>_xlfn.IFNA(VLOOKUP(A185,[1]IRESS!$A$10:$F$875,4,FALSE),"n/a")</f>
        <v>205</v>
      </c>
      <c r="M185" s="29">
        <f t="shared" si="2"/>
        <v>0.20994257799558932</v>
      </c>
      <c r="N185" s="30">
        <f>_xlfn.IFNA(VLOOKUP(A185,[1]Spreads!$A$1:$G$279,2,FALSE),"n/a")</f>
        <v>1.85435439003665E-3</v>
      </c>
      <c r="O185" s="28">
        <f>IFERROR(VLOOKUP(A185,[1]Spreads!$A$1:$G$279,5,FALSE)/1000,"n/a")</f>
        <v>609.48577750443008</v>
      </c>
      <c r="P185" s="31">
        <f>IFERROR(VLOOKUP(A185,[1]Spreads!$A$1:$G$279,6,FALSE)/1000,"n/a")</f>
        <v>545.18186850688096</v>
      </c>
      <c r="Q185" s="9"/>
      <c r="R185" s="32">
        <f>_xlfn.IFNA(VLOOKUP($A185,[1]IRESS!$A$11:$AE$696,6,FALSE)/100,"n/a")</f>
        <v>51.8</v>
      </c>
      <c r="S185" s="33">
        <f>_xlfn.IFNA(VLOOKUP($A185,[1]IRESS!$A$11:$AE$696,21,FALSE)/100,"n/a")</f>
        <v>52.28</v>
      </c>
      <c r="T185" s="32">
        <f>_xlfn.IFNA(VLOOKUP($A185,[1]IRESS!$A$11:$AE$696,22,FALSE)/100,"n/a")</f>
        <v>48.75</v>
      </c>
      <c r="V185" s="34">
        <f>IFERROR((VLOOKUP($A185,[1]IRESS!$A$11:$AE$696,20,FALSE)/100)/R185,"n/a")</f>
        <v>1.391749034749035E-2</v>
      </c>
      <c r="W185" s="35">
        <f>IFERROR(VLOOKUP($A185,[1]Morningstar!$A$2:$F$477,3,FALSE),"n/a")</f>
        <v>1.23E-2</v>
      </c>
      <c r="X185" s="34" t="str">
        <f>IFERROR(VLOOKUP($A185,[1]Morningstar!$A$2:$F$477,4,FALSE),"n/a")</f>
        <v>n/a</v>
      </c>
      <c r="Y185" s="35" t="str">
        <f>IFERROR(VLOOKUP($A185,[1]Morningstar!$A$2:$F$477,5,FALSE),"n/a")</f>
        <v>n/a</v>
      </c>
      <c r="Z185" s="34" t="str">
        <f>IFERROR(VLOOKUP($A185,[1]Morningstar!$A$2:$F$477,6,FALSE),"n/a")</f>
        <v>n/a</v>
      </c>
    </row>
    <row r="186" spans="1:26">
      <c r="A186" s="21" t="s">
        <v>202</v>
      </c>
      <c r="B186" s="22" t="s">
        <v>28</v>
      </c>
      <c r="C186" s="23" t="str">
        <f>VLOOKUP(A186,'[1]ETF List'!$A$3:$B$185,2,FALSE)</f>
        <v>Vanguard Diversified High Growth Index ETF</v>
      </c>
      <c r="D186" s="24"/>
      <c r="E186" s="7"/>
      <c r="F186" s="25">
        <f>_xlfn.IFNA(VLOOKUP(A186,'[1]ETF List'!$A$2:$I$180,6,FALSE),"n/a")</f>
        <v>0.27</v>
      </c>
      <c r="G186" s="26">
        <f>_xlfn.IFNA(VLOOKUP(A186,'[1]ETF List'!$A$2:$J$180,8,FALSE)/1000000,"n/a")</f>
        <v>64.922632320000005</v>
      </c>
      <c r="H186" s="25">
        <f>_xlfn.IFNA(VLOOKUP(A186,'[1]ETF List'!$A$2:$N$180,14,FALSE)/1000000,"n/a")</f>
        <v>5.6755358400000038</v>
      </c>
      <c r="I186" s="26">
        <f>_xlfn.IFNA(VLOOKUP(A186,'[1]ETF List'!$A:$R,18,FALSE)/1000000,"n/a")</f>
        <v>4.7088000000000001</v>
      </c>
      <c r="J186" s="27">
        <f>_xlfn.IFNA(VLOOKUP(A186,[1]IRESS!$A$10:$F$875,5,FALSE),"n/a")</f>
        <v>6242900.9300000006</v>
      </c>
      <c r="K186" s="28">
        <f>_xlfn.IFNA(VLOOKUP(A186,[1]IRESS!$A$11:$G$684,7,FALSE),"n/a")</f>
        <v>119641</v>
      </c>
      <c r="L186" s="27">
        <f>_xlfn.IFNA(VLOOKUP(A186,[1]IRESS!$A$10:$F$875,4,FALSE),"n/a")</f>
        <v>471</v>
      </c>
      <c r="M186" s="29">
        <f t="shared" si="2"/>
        <v>9.6159085158917967E-2</v>
      </c>
      <c r="N186" s="30">
        <f>_xlfn.IFNA(VLOOKUP(A186,[1]Spreads!$A$1:$G$279,2,FALSE),"n/a")</f>
        <v>1.81951399504515E-3</v>
      </c>
      <c r="O186" s="28">
        <f>IFERROR(VLOOKUP(A186,[1]Spreads!$A$1:$G$279,5,FALSE)/1000,"n/a")</f>
        <v>605.55984135329504</v>
      </c>
      <c r="P186" s="31">
        <f>IFERROR(VLOOKUP(A186,[1]Spreads!$A$1:$G$279,6,FALSE)/1000,"n/a")</f>
        <v>587.09743809173301</v>
      </c>
      <c r="Q186" s="9"/>
      <c r="R186" s="32">
        <f>_xlfn.IFNA(VLOOKUP($A186,[1]IRESS!$A$11:$AE$696,6,FALSE)/100,"n/a")</f>
        <v>52.32</v>
      </c>
      <c r="S186" s="33">
        <f>_xlfn.IFNA(VLOOKUP($A186,[1]IRESS!$A$11:$AE$696,21,FALSE)/100,"n/a")</f>
        <v>52.94</v>
      </c>
      <c r="T186" s="32">
        <f>_xlfn.IFNA(VLOOKUP($A186,[1]IRESS!$A$11:$AE$696,22,FALSE)/100,"n/a")</f>
        <v>48.38</v>
      </c>
      <c r="V186" s="34">
        <f>IFERROR((VLOOKUP($A186,[1]IRESS!$A$11:$AE$696,20,FALSE)/100)/R186,"n/a")</f>
        <v>1.6198031345565748E-2</v>
      </c>
      <c r="W186" s="35">
        <f>IFERROR(VLOOKUP($A186,[1]Morningstar!$A$2:$F$477,3,FALSE),"n/a")</f>
        <v>1.4800000000000001E-2</v>
      </c>
      <c r="X186" s="34" t="str">
        <f>IFERROR(VLOOKUP($A186,[1]Morningstar!$A$2:$F$477,4,FALSE),"n/a")</f>
        <v>n/a</v>
      </c>
      <c r="Y186" s="35" t="str">
        <f>IFERROR(VLOOKUP($A186,[1]Morningstar!$A$2:$F$477,5,FALSE),"n/a")</f>
        <v>n/a</v>
      </c>
      <c r="Z186" s="34" t="str">
        <f>IFERROR(VLOOKUP($A186,[1]Morningstar!$A$2:$F$477,6,FALSE),"n/a")</f>
        <v>n/a</v>
      </c>
    </row>
    <row r="187" spans="1:26">
      <c r="A187" s="37" t="s">
        <v>203</v>
      </c>
      <c r="B187" s="38"/>
      <c r="C187" s="38"/>
      <c r="D187" s="38"/>
      <c r="E187" s="7"/>
      <c r="F187" s="39"/>
      <c r="G187" s="39"/>
      <c r="H187" s="39"/>
      <c r="I187" s="39"/>
      <c r="J187" s="39"/>
      <c r="K187" s="39"/>
      <c r="L187" s="39"/>
      <c r="M187" s="40"/>
      <c r="N187" s="40"/>
      <c r="O187" s="39"/>
      <c r="P187" s="41"/>
      <c r="Q187" s="9"/>
      <c r="R187" s="42"/>
      <c r="S187" s="42"/>
      <c r="T187" s="42"/>
      <c r="V187" s="43"/>
      <c r="W187" s="44"/>
      <c r="X187" s="44"/>
      <c r="Y187" s="44"/>
      <c r="Z187" s="38"/>
    </row>
    <row r="188" spans="1:26">
      <c r="A188" s="49" t="s">
        <v>204</v>
      </c>
      <c r="B188" s="50" t="s">
        <v>43</v>
      </c>
      <c r="C188" s="46" t="str">
        <f>VLOOKUP(A188,'[1]ETF List'!$A$3:$B$185,2,FALSE)</f>
        <v>BetaShares Strong Australian Dollar Fund (Hedge Fund)</v>
      </c>
      <c r="D188" s="24"/>
      <c r="E188" s="7"/>
      <c r="F188" s="25">
        <f>_xlfn.IFNA(VLOOKUP(A188,'[1]ETF List'!$A$2:$I$180,6,FALSE),"n/a")</f>
        <v>1.38</v>
      </c>
      <c r="G188" s="26">
        <f>_xlfn.IFNA(VLOOKUP(A188,'[1]ETF List'!$A$2:$J$180,8,FALSE)/1000000,"n/a")</f>
        <v>4.194</v>
      </c>
      <c r="H188" s="25">
        <f>_xlfn.IFNA(VLOOKUP(A188,'[1]ETF List'!$A$2:$N$180,14,FALSE)/1000000,"n/a")</f>
        <v>1.218</v>
      </c>
      <c r="I188" s="26">
        <f>_xlfn.IFNA(VLOOKUP(A188,'[1]ETF List'!$A:$R,18,FALSE)/1000000,"n/a")</f>
        <v>1.3979999999999999</v>
      </c>
      <c r="J188" s="27">
        <f>_xlfn.IFNA(VLOOKUP(A188,[1]IRESS!$A$10:$F$875,5,FALSE),"n/a")</f>
        <v>3154752.93</v>
      </c>
      <c r="K188" s="28">
        <f>_xlfn.IFNA(VLOOKUP(A188,[1]IRESS!$A$11:$G$684,7,FALSE),"n/a")</f>
        <v>224820</v>
      </c>
      <c r="L188" s="27">
        <f>_xlfn.IFNA(VLOOKUP(A188,[1]IRESS!$A$10:$F$875,4,FALSE),"n/a")</f>
        <v>59</v>
      </c>
      <c r="M188" s="29">
        <f t="shared" si="2"/>
        <v>0.75220623032904155</v>
      </c>
      <c r="N188" s="30">
        <f>_xlfn.IFNA(VLOOKUP(A188,[1]Spreads!$A$1:$G$279,2,FALSE),"n/a")</f>
        <v>2.3454310582475299E-3</v>
      </c>
      <c r="O188" s="28">
        <f>IFERROR(VLOOKUP(A188,[1]Spreads!$A$1:$G$279,5,FALSE)/1000,"n/a")</f>
        <v>511.81341129572797</v>
      </c>
      <c r="P188" s="31">
        <f>IFERROR(VLOOKUP(A188,[1]Spreads!$A$1:$G$279,6,FALSE)/1000,"n/a")</f>
        <v>562.66659023698401</v>
      </c>
      <c r="Q188" s="9"/>
      <c r="R188" s="32">
        <f>_xlfn.IFNA(VLOOKUP($A188,[1]IRESS!$A$11:$AE$696,6,FALSE)/100,"n/a")</f>
        <v>13.98</v>
      </c>
      <c r="S188" s="33">
        <f>_xlfn.IFNA(VLOOKUP($A188,[1]IRESS!$A$11:$AE$696,21,FALSE)/100,"n/a")</f>
        <v>17.71</v>
      </c>
      <c r="T188" s="32">
        <f>_xlfn.IFNA(VLOOKUP($A188,[1]IRESS!$A$11:$AE$696,22,FALSE)/100,"n/a")</f>
        <v>13.72</v>
      </c>
      <c r="V188" s="34">
        <f>IFERROR((VLOOKUP($A188,[1]IRESS!$A$11:$AE$696,20,FALSE)/100)/R188,"n/a")</f>
        <v>0</v>
      </c>
      <c r="W188" s="35">
        <f>IFERROR(VLOOKUP($A188,[1]Morningstar!$A$2:$F$477,3,FALSE),"n/a")</f>
        <v>-5.9499999999999997E-2</v>
      </c>
      <c r="X188" s="34">
        <f>IFERROR(VLOOKUP($A188,[1]Morningstar!$A$2:$F$477,4,FALSE),"n/a")</f>
        <v>-0.10920000000000001</v>
      </c>
      <c r="Y188" s="35" t="str">
        <f>IFERROR(VLOOKUP($A188,[1]Morningstar!$A$2:$F$477,5,FALSE),"n/a")</f>
        <v>n/a</v>
      </c>
      <c r="Z188" s="34" t="str">
        <f>IFERROR(VLOOKUP($A188,[1]Morningstar!$A$2:$F$477,6,FALSE),"n/a")</f>
        <v>n/a</v>
      </c>
    </row>
    <row r="189" spans="1:26">
      <c r="A189" s="49" t="s">
        <v>205</v>
      </c>
      <c r="B189" s="50" t="s">
        <v>28</v>
      </c>
      <c r="C189" s="46" t="str">
        <f>VLOOKUP(A189,'[1]ETF List'!$A$3:$B$185,2,FALSE)</f>
        <v>BetaShares Euro ETF</v>
      </c>
      <c r="D189" s="24"/>
      <c r="E189" s="7"/>
      <c r="F189" s="25">
        <f>_xlfn.IFNA(VLOOKUP(A189,'[1]ETF List'!$A$2:$I$180,6,FALSE),"n/a")</f>
        <v>0.45</v>
      </c>
      <c r="G189" s="26">
        <f>_xlfn.IFNA(VLOOKUP(A189,'[1]ETF List'!$A$2:$J$180,8,FALSE)/1000000,"n/a")</f>
        <v>8.2403999999999993</v>
      </c>
      <c r="H189" s="25">
        <f>_xlfn.IFNA(VLOOKUP(A189,'[1]ETF List'!$A$2:$N$180,14,FALSE)/1000000,"n/a")</f>
        <v>0.19439999999999999</v>
      </c>
      <c r="I189" s="26">
        <f>_xlfn.IFNA(VLOOKUP(A189,'[1]ETF List'!$A:$R,18,FALSE)/1000000,"n/a")</f>
        <v>0</v>
      </c>
      <c r="J189" s="27">
        <f>_xlfn.IFNA(VLOOKUP(A189,[1]IRESS!$A$10:$F$875,5,FALSE),"n/a")</f>
        <v>1477029.55</v>
      </c>
      <c r="K189" s="28">
        <f>_xlfn.IFNA(VLOOKUP(A189,[1]IRESS!$A$11:$G$684,7,FALSE),"n/a")</f>
        <v>97505</v>
      </c>
      <c r="L189" s="27">
        <f>_xlfn.IFNA(VLOOKUP(A189,[1]IRESS!$A$10:$F$875,4,FALSE),"n/a")</f>
        <v>54</v>
      </c>
      <c r="M189" s="29">
        <f t="shared" si="2"/>
        <v>0.1792424578903937</v>
      </c>
      <c r="N189" s="30">
        <f>_xlfn.IFNA(VLOOKUP(A189,[1]Spreads!$A$1:$G$279,2,FALSE),"n/a")</f>
        <v>1.29023795811371E-3</v>
      </c>
      <c r="O189" s="28">
        <f>IFERROR(VLOOKUP(A189,[1]Spreads!$A$1:$G$279,5,FALSE)/1000,"n/a")</f>
        <v>948.279437022244</v>
      </c>
      <c r="P189" s="31">
        <f>IFERROR(VLOOKUP(A189,[1]Spreads!$A$1:$G$279,6,FALSE)/1000,"n/a")</f>
        <v>936.03631033619899</v>
      </c>
      <c r="Q189" s="9"/>
      <c r="R189" s="32">
        <f>_xlfn.IFNA(VLOOKUP($A189,[1]IRESS!$A$11:$AE$696,6,FALSE)/100,"n/a")</f>
        <v>15.2</v>
      </c>
      <c r="S189" s="33">
        <f>_xlfn.IFNA(VLOOKUP($A189,[1]IRESS!$A$11:$AE$696,21,FALSE)/100,"n/a")</f>
        <v>15.66</v>
      </c>
      <c r="T189" s="32">
        <f>_xlfn.IFNA(VLOOKUP($A189,[1]IRESS!$A$11:$AE$696,22,FALSE)/100,"n/a")</f>
        <v>14.19</v>
      </c>
      <c r="V189" s="34">
        <f>IFERROR((VLOOKUP($A189,[1]IRESS!$A$11:$AE$696,20,FALSE)/100)/R189,"n/a")</f>
        <v>0</v>
      </c>
      <c r="W189" s="35">
        <f>IFERROR(VLOOKUP($A189,[1]Morningstar!$A$2:$F$477,3,FALSE),"n/a")</f>
        <v>1.3299999999999999E-2</v>
      </c>
      <c r="X189" s="34">
        <f>IFERROR(VLOOKUP($A189,[1]Morningstar!$A$2:$F$477,4,FALSE),"n/a")</f>
        <v>4.8899999999999999E-2</v>
      </c>
      <c r="Y189" s="35">
        <f>IFERROR(VLOOKUP($A189,[1]Morningstar!$A$2:$F$477,5,FALSE),"n/a")</f>
        <v>0.02</v>
      </c>
      <c r="Z189" s="34">
        <f>IFERROR(VLOOKUP($A189,[1]Morningstar!$A$2:$F$477,6,FALSE),"n/a")</f>
        <v>1.6299999999999999E-2</v>
      </c>
    </row>
    <row r="190" spans="1:26">
      <c r="A190" s="49" t="s">
        <v>206</v>
      </c>
      <c r="B190" s="50" t="s">
        <v>28</v>
      </c>
      <c r="C190" s="46" t="str">
        <f>VLOOKUP(A190,'[1]ETF List'!$A$3:$B$185,2,FALSE)</f>
        <v>BetaShares British Pound ETF</v>
      </c>
      <c r="D190" s="24"/>
      <c r="E190" s="7"/>
      <c r="F190" s="25">
        <f>_xlfn.IFNA(VLOOKUP(A190,'[1]ETF List'!$A$2:$I$180,6,FALSE),"n/a")</f>
        <v>0.45</v>
      </c>
      <c r="G190" s="26">
        <f>_xlfn.IFNA(VLOOKUP(A190,'[1]ETF List'!$A$2:$J$180,8,FALSE)/1000000,"n/a")</f>
        <v>20.980400840000001</v>
      </c>
      <c r="H190" s="25">
        <f>_xlfn.IFNA(VLOOKUP(A190,'[1]ETF List'!$A$2:$N$180,14,FALSE)/1000000,"n/a")</f>
        <v>-1.9018478799999989</v>
      </c>
      <c r="I190" s="26">
        <f>_xlfn.IFNA(VLOOKUP(A190,'[1]ETF List'!$A:$R,18,FALSE)/1000000,"n/a")</f>
        <v>-2.1924999999999999</v>
      </c>
      <c r="J190" s="27">
        <f>_xlfn.IFNA(VLOOKUP(A190,[1]IRESS!$A$10:$F$875,5,FALSE),"n/a")</f>
        <v>2694330.0300000003</v>
      </c>
      <c r="K190" s="28">
        <f>_xlfn.IFNA(VLOOKUP(A190,[1]IRESS!$A$11:$G$684,7,FALSE),"n/a")</f>
        <v>154256</v>
      </c>
      <c r="L190" s="27">
        <f>_xlfn.IFNA(VLOOKUP(A190,[1]IRESS!$A$10:$F$875,4,FALSE),"n/a")</f>
        <v>97</v>
      </c>
      <c r="M190" s="29">
        <f t="shared" si="2"/>
        <v>0.12842128472889561</v>
      </c>
      <c r="N190" s="30">
        <f>_xlfn.IFNA(VLOOKUP(A190,[1]Spreads!$A$1:$G$279,2,FALSE),"n/a")</f>
        <v>1.0211888691984701E-3</v>
      </c>
      <c r="O190" s="28">
        <f>IFERROR(VLOOKUP(A190,[1]Spreads!$A$1:$G$279,5,FALSE)/1000,"n/a")</f>
        <v>1236.5799423854201</v>
      </c>
      <c r="P190" s="31">
        <f>IFERROR(VLOOKUP(A190,[1]Spreads!$A$1:$G$279,6,FALSE)/1000,"n/a")</f>
        <v>1636.2752062672</v>
      </c>
      <c r="Q190" s="9"/>
      <c r="R190" s="32">
        <f>_xlfn.IFNA(VLOOKUP($A190,[1]IRESS!$A$11:$AE$696,6,FALSE)/100,"n/a")</f>
        <v>17.54</v>
      </c>
      <c r="S190" s="33">
        <f>_xlfn.IFNA(VLOOKUP($A190,[1]IRESS!$A$11:$AE$696,21,FALSE)/100,"n/a")</f>
        <v>18.2</v>
      </c>
      <c r="T190" s="32">
        <f>_xlfn.IFNA(VLOOKUP($A190,[1]IRESS!$A$11:$AE$696,22,FALSE)/100,"n/a")</f>
        <v>15.96</v>
      </c>
      <c r="V190" s="34">
        <f>IFERROR((VLOOKUP($A190,[1]IRESS!$A$11:$AE$696,20,FALSE)/100)/R190,"n/a")</f>
        <v>3.940935005701255E-3</v>
      </c>
      <c r="W190" s="35">
        <f>IFERROR(VLOOKUP($A190,[1]Morningstar!$A$2:$F$477,3,FALSE),"n/a")</f>
        <v>5.7000000000000002E-3</v>
      </c>
      <c r="X190" s="34">
        <f>IFERROR(VLOOKUP($A190,[1]Morningstar!$A$2:$F$477,4,FALSE),"n/a")</f>
        <v>5.0200000000000002E-2</v>
      </c>
      <c r="Y190" s="35">
        <f>IFERROR(VLOOKUP($A190,[1]Morningstar!$A$2:$F$477,5,FALSE),"n/a")</f>
        <v>-4.8500000000000001E-2</v>
      </c>
      <c r="Z190" s="34">
        <f>IFERROR(VLOOKUP($A190,[1]Morningstar!$A$2:$F$477,6,FALSE),"n/a")</f>
        <v>1.32E-2</v>
      </c>
    </row>
    <row r="191" spans="1:26" s="36" customFormat="1">
      <c r="A191" s="49" t="s">
        <v>207</v>
      </c>
      <c r="B191" s="50" t="s">
        <v>28</v>
      </c>
      <c r="C191" s="46" t="str">
        <f>VLOOKUP(A191,'[1]ETF List'!$A$3:$B$185,2,FALSE)</f>
        <v>BetaShares U.S Dollar ETF</v>
      </c>
      <c r="D191" s="24"/>
      <c r="E191" s="7"/>
      <c r="F191" s="25">
        <f>_xlfn.IFNA(VLOOKUP(A191,'[1]ETF List'!$A$2:$I$180,6,FALSE),"n/a")</f>
        <v>0.45</v>
      </c>
      <c r="G191" s="26">
        <f>_xlfn.IFNA(VLOOKUP(A191,'[1]ETF List'!$A$2:$J$180,8,FALSE)/1000000,"n/a")</f>
        <v>462.90661538000001</v>
      </c>
      <c r="H191" s="25">
        <f>_xlfn.IFNA(VLOOKUP(A191,'[1]ETF List'!$A$2:$N$180,14,FALSE)/1000000,"n/a")</f>
        <v>-4.2749987200000286</v>
      </c>
      <c r="I191" s="26">
        <f>_xlfn.IFNA(VLOOKUP(A191,'[1]ETF List'!$A:$R,18,FALSE)/1000000,"n/a")</f>
        <v>-15.864000000000001</v>
      </c>
      <c r="J191" s="27">
        <f>_xlfn.IFNA(VLOOKUP(A191,[1]IRESS!$A$10:$F$875,5,FALSE),"n/a")</f>
        <v>43036068.597599998</v>
      </c>
      <c r="K191" s="28">
        <f>_xlfn.IFNA(VLOOKUP(A191,[1]IRESS!$A$11:$G$684,7,FALSE),"n/a")</f>
        <v>3283130</v>
      </c>
      <c r="L191" s="27">
        <f>_xlfn.IFNA(VLOOKUP(A191,[1]IRESS!$A$10:$F$875,4,FALSE),"n/a")</f>
        <v>1050</v>
      </c>
      <c r="M191" s="29">
        <f t="shared" si="2"/>
        <v>9.296922352745314E-2</v>
      </c>
      <c r="N191" s="30">
        <f>_xlfn.IFNA(VLOOKUP(A191,[1]Spreads!$A$1:$G$279,2,FALSE),"n/a")</f>
        <v>9.5496309884336803E-4</v>
      </c>
      <c r="O191" s="28">
        <f>IFERROR(VLOOKUP(A191,[1]Spreads!$A$1:$G$279,5,FALSE)/1000,"n/a")</f>
        <v>3510.69520330663</v>
      </c>
      <c r="P191" s="31">
        <f>IFERROR(VLOOKUP(A191,[1]Spreads!$A$1:$G$279,6,FALSE)/1000,"n/a")</f>
        <v>3284.5606525636399</v>
      </c>
      <c r="Q191" s="9"/>
      <c r="R191" s="32">
        <f>_xlfn.IFNA(VLOOKUP($A191,[1]IRESS!$A$11:$AE$696,6,FALSE)/100,"n/a")</f>
        <v>13.22</v>
      </c>
      <c r="S191" s="33">
        <f>_xlfn.IFNA(VLOOKUP($A191,[1]IRESS!$A$11:$AE$696,21,FALSE)/100,"n/a")</f>
        <v>13.31</v>
      </c>
      <c r="T191" s="32">
        <f>_xlfn.IFNA(VLOOKUP($A191,[1]IRESS!$A$11:$AE$696,22,FALSE)/100,"n/a")</f>
        <v>11.97</v>
      </c>
      <c r="U191" s="7"/>
      <c r="V191" s="34">
        <f>IFERROR((VLOOKUP($A191,[1]IRESS!$A$11:$AE$696,20,FALSE)/100)/R191,"n/a")</f>
        <v>7.9194402420574884E-3</v>
      </c>
      <c r="W191" s="35">
        <f>IFERROR(VLOOKUP($A191,[1]Morningstar!$A$2:$F$477,3,FALSE),"n/a")</f>
        <v>2.1499999999999998E-2</v>
      </c>
      <c r="X191" s="34">
        <f>IFERROR(VLOOKUP($A191,[1]Morningstar!$A$2:$F$477,4,FALSE),"n/a")</f>
        <v>4.5199999999999997E-2</v>
      </c>
      <c r="Y191" s="35">
        <f>IFERROR(VLOOKUP($A191,[1]Morningstar!$A$2:$F$477,5,FALSE),"n/a")</f>
        <v>1.2699999999999999E-2</v>
      </c>
      <c r="Z191" s="34">
        <f>IFERROR(VLOOKUP($A191,[1]Morningstar!$A$2:$F$477,6,FALSE),"n/a")</f>
        <v>4.41E-2</v>
      </c>
    </row>
    <row r="192" spans="1:26">
      <c r="A192" s="49" t="s">
        <v>208</v>
      </c>
      <c r="B192" s="50" t="s">
        <v>43</v>
      </c>
      <c r="C192" s="46" t="str">
        <f>VLOOKUP(A192,'[1]ETF List'!$A$3:$B$185,2,FALSE)</f>
        <v>BetaShares Strong US Dollar Fund (Hedge Fund)</v>
      </c>
      <c r="D192" s="24"/>
      <c r="E192" s="7"/>
      <c r="F192" s="25">
        <f>_xlfn.IFNA(VLOOKUP(A192,'[1]ETF List'!$A$2:$I$180,6,FALSE),"n/a")</f>
        <v>1.38</v>
      </c>
      <c r="G192" s="26">
        <f>_xlfn.IFNA(VLOOKUP(A192,'[1]ETF List'!$A$2:$J$180,8,FALSE)/1000000,"n/a")</f>
        <v>11.88</v>
      </c>
      <c r="H192" s="25">
        <f>_xlfn.IFNA(VLOOKUP(A192,'[1]ETF List'!$A$2:$N$180,14,FALSE)/1000000,"n/a")</f>
        <v>-0.72</v>
      </c>
      <c r="I192" s="26">
        <f>_xlfn.IFNA(VLOOKUP(A192,'[1]ETF List'!$A:$R,18,FALSE)/1000000,"n/a")</f>
        <v>-1.4850000000000001</v>
      </c>
      <c r="J192" s="27">
        <f>_xlfn.IFNA(VLOOKUP(A192,[1]IRESS!$A$10:$F$875,5,FALSE),"n/a")</f>
        <v>7234207.6900000004</v>
      </c>
      <c r="K192" s="28">
        <f>_xlfn.IFNA(VLOOKUP(A192,[1]IRESS!$A$11:$G$684,7,FALSE),"n/a")</f>
        <v>497207</v>
      </c>
      <c r="L192" s="27">
        <f>_xlfn.IFNA(VLOOKUP(A192,[1]IRESS!$A$10:$F$875,4,FALSE),"n/a")</f>
        <v>148</v>
      </c>
      <c r="M192" s="29">
        <f t="shared" si="2"/>
        <v>0.60894004124579126</v>
      </c>
      <c r="N192" s="30">
        <f>_xlfn.IFNA(VLOOKUP(A192,[1]Spreads!$A$1:$G$279,2,FALSE),"n/a")</f>
        <v>2.11002797815984E-3</v>
      </c>
      <c r="O192" s="28">
        <f>IFERROR(VLOOKUP(A192,[1]Spreads!$A$1:$G$279,5,FALSE)/1000,"n/a")</f>
        <v>648.11814130805101</v>
      </c>
      <c r="P192" s="31">
        <f>IFERROR(VLOOKUP(A192,[1]Spreads!$A$1:$G$279,6,FALSE)/1000,"n/a")</f>
        <v>601.45111519892305</v>
      </c>
      <c r="Q192" s="9"/>
      <c r="R192" s="32">
        <f>_xlfn.IFNA(VLOOKUP($A192,[1]IRESS!$A$11:$AE$696,6,FALSE)/100,"n/a")</f>
        <v>14.78</v>
      </c>
      <c r="S192" s="33">
        <f>_xlfn.IFNA(VLOOKUP($A192,[1]IRESS!$A$11:$AE$696,21,FALSE)/100,"n/a")</f>
        <v>14.95</v>
      </c>
      <c r="T192" s="32">
        <f>_xlfn.IFNA(VLOOKUP($A192,[1]IRESS!$A$11:$AE$696,22,FALSE)/100,"n/a")</f>
        <v>11.99</v>
      </c>
      <c r="V192" s="34">
        <f>IFERROR((VLOOKUP($A192,[1]IRESS!$A$11:$AE$696,20,FALSE)/100)/R192,"n/a")</f>
        <v>2.9559404600811908E-2</v>
      </c>
      <c r="W192" s="35">
        <f>IFERROR(VLOOKUP($A192,[1]Morningstar!$A$2:$F$477,3,FALSE),"n/a")</f>
        <v>6.0199999999999997E-2</v>
      </c>
      <c r="X192" s="34">
        <f>IFERROR(VLOOKUP($A192,[1]Morningstar!$A$2:$F$477,4,FALSE),"n/a")</f>
        <v>7.2300000000000003E-2</v>
      </c>
      <c r="Y192" s="35" t="str">
        <f>IFERROR(VLOOKUP($A192,[1]Morningstar!$A$2:$F$477,5,FALSE),"n/a")</f>
        <v>n/a</v>
      </c>
      <c r="Z192" s="34" t="str">
        <f>IFERROR(VLOOKUP($A192,[1]Morningstar!$A$2:$F$477,6,FALSE),"n/a")</f>
        <v>n/a</v>
      </c>
    </row>
    <row r="193" spans="1:26">
      <c r="A193" s="49" t="s">
        <v>209</v>
      </c>
      <c r="B193" s="50" t="s">
        <v>28</v>
      </c>
      <c r="C193" s="46" t="str">
        <f>VLOOKUP(A193,'[1]ETF List'!$A$3:$B$185,2,FALSE)</f>
        <v>ETFS Physical Renminbi ETF</v>
      </c>
      <c r="D193" s="24"/>
      <c r="E193" s="7"/>
      <c r="F193" s="25">
        <f>_xlfn.IFNA(VLOOKUP(A193,'[1]ETF List'!$A$2:$I$180,6,FALSE),"n/a")</f>
        <v>0.3</v>
      </c>
      <c r="G193" s="26">
        <f>_xlfn.IFNA(VLOOKUP(A193,'[1]ETF List'!$A$2:$J$180,8,FALSE)/1000000,"n/a")</f>
        <v>0.48550000000000004</v>
      </c>
      <c r="H193" s="25">
        <f>_xlfn.IFNA(VLOOKUP(A193,'[1]ETF List'!$A$2:$N$180,14,FALSE)/1000000,"n/a")</f>
        <v>-4.999999999999942E-3</v>
      </c>
      <c r="I193" s="26">
        <f>_xlfn.IFNA(VLOOKUP(A193,'[1]ETF List'!$A:$R,18,FALSE)/1000000,"n/a")</f>
        <v>0</v>
      </c>
      <c r="J193" s="27">
        <f>_xlfn.IFNA(VLOOKUP(A193,[1]IRESS!$A$10:$F$875,5,FALSE),"n/a")</f>
        <v>77543.41</v>
      </c>
      <c r="K193" s="28">
        <f>_xlfn.IFNA(VLOOKUP(A193,[1]IRESS!$A$11:$G$684,7,FALSE),"n/a")</f>
        <v>7973</v>
      </c>
      <c r="L193" s="27">
        <f>_xlfn.IFNA(VLOOKUP(A193,[1]IRESS!$A$10:$F$875,4,FALSE),"n/a")</f>
        <v>10</v>
      </c>
      <c r="M193" s="29">
        <f t="shared" si="2"/>
        <v>0.15971866117404737</v>
      </c>
      <c r="N193" s="30">
        <f>_xlfn.IFNA(VLOOKUP(A193,[1]Spreads!$A$1:$G$279,2,FALSE),"n/a")</f>
        <v>2.99522552979936E-3</v>
      </c>
      <c r="O193" s="28">
        <f>IFERROR(VLOOKUP(A193,[1]Spreads!$A$1:$G$279,5,FALSE)/1000,"n/a")</f>
        <v>229.030259259259</v>
      </c>
      <c r="P193" s="31">
        <f>IFERROR(VLOOKUP(A193,[1]Spreads!$A$1:$G$279,6,FALSE)/1000,"n/a")</f>
        <v>229.740527777777</v>
      </c>
      <c r="Q193" s="9"/>
      <c r="R193" s="32">
        <f>_xlfn.IFNA(VLOOKUP($A193,[1]IRESS!$A$11:$AE$696,6,FALSE)/100,"n/a")</f>
        <v>9.76</v>
      </c>
      <c r="S193" s="33">
        <f>_xlfn.IFNA(VLOOKUP($A193,[1]IRESS!$A$11:$AE$696,21,FALSE)/100,"n/a")</f>
        <v>9.9600000000000009</v>
      </c>
      <c r="T193" s="32">
        <f>_xlfn.IFNA(VLOOKUP($A193,[1]IRESS!$A$11:$AE$696,22,FALSE)/100,"n/a")</f>
        <v>8.7200000000000006</v>
      </c>
      <c r="V193" s="34">
        <f>IFERROR((VLOOKUP($A193,[1]IRESS!$A$11:$AE$696,20,FALSE)/100)/R193,"n/a")</f>
        <v>0</v>
      </c>
      <c r="W193" s="35">
        <f>IFERROR(VLOOKUP($A193,[1]Morningstar!$A$2:$F$477,3,FALSE),"n/a")</f>
        <v>8.9999999999999998E-4</v>
      </c>
      <c r="X193" s="34">
        <f>IFERROR(VLOOKUP($A193,[1]Morningstar!$A$2:$F$477,4,FALSE),"n/a")</f>
        <v>8.2100000000000006E-2</v>
      </c>
      <c r="Y193" s="35">
        <f>IFERROR(VLOOKUP($A193,[1]Morningstar!$A$2:$F$477,5,FALSE),"n/a")</f>
        <v>2.9999999999999997E-4</v>
      </c>
      <c r="Z193" s="34" t="str">
        <f>IFERROR(VLOOKUP($A193,[1]Morningstar!$A$2:$F$477,6,FALSE),"n/a")</f>
        <v>n/a</v>
      </c>
    </row>
    <row r="194" spans="1:26">
      <c r="A194" s="49" t="s">
        <v>210</v>
      </c>
      <c r="B194" s="50" t="s">
        <v>28</v>
      </c>
      <c r="C194" s="46" t="str">
        <f>VLOOKUP(A194,'[1]ETF List'!$A$3:$B$185,2,FALSE)</f>
        <v>ETFS Physical US Dollar ETF</v>
      </c>
      <c r="D194" s="24"/>
      <c r="E194" s="7"/>
      <c r="F194" s="25">
        <f>_xlfn.IFNA(VLOOKUP(A194,'[1]ETF List'!$A$2:$I$180,6,FALSE),"n/a")</f>
        <v>0.3</v>
      </c>
      <c r="G194" s="26">
        <f>_xlfn.IFNA(VLOOKUP(A194,'[1]ETF List'!$A$2:$J$180,8,FALSE)/1000000,"n/a")</f>
        <v>19.869150000000001</v>
      </c>
      <c r="H194" s="25">
        <f>_xlfn.IFNA(VLOOKUP(A194,'[1]ETF List'!$A$2:$N$180,14,FALSE)/1000000,"n/a")</f>
        <v>0.49530000000000002</v>
      </c>
      <c r="I194" s="26">
        <f>_xlfn.IFNA(VLOOKUP(A194,'[1]ETF List'!$A:$R,18,FALSE)/1000000,"n/a")</f>
        <v>0</v>
      </c>
      <c r="J194" s="27">
        <f>_xlfn.IFNA(VLOOKUP(A194,[1]IRESS!$A$10:$F$875,5,FALSE),"n/a")</f>
        <v>2601578.7900000005</v>
      </c>
      <c r="K194" s="28">
        <f>_xlfn.IFNA(VLOOKUP(A194,[1]IRESS!$A$11:$G$684,7,FALSE),"n/a")</f>
        <v>251419</v>
      </c>
      <c r="L194" s="27">
        <f>_xlfn.IFNA(VLOOKUP(A194,[1]IRESS!$A$10:$F$875,4,FALSE),"n/a")</f>
        <v>83</v>
      </c>
      <c r="M194" s="29">
        <f t="shared" si="2"/>
        <v>0.13093558556858248</v>
      </c>
      <c r="N194" s="30">
        <f>_xlfn.IFNA(VLOOKUP(A194,[1]Spreads!$A$1:$G$279,2,FALSE),"n/a")</f>
        <v>2.06805502796454E-3</v>
      </c>
      <c r="O194" s="28">
        <f>IFERROR(VLOOKUP(A194,[1]Spreads!$A$1:$G$279,5,FALSE)/1000,"n/a")</f>
        <v>209.25152523571799</v>
      </c>
      <c r="P194" s="31">
        <f>IFERROR(VLOOKUP(A194,[1]Spreads!$A$1:$G$279,6,FALSE)/1000,"n/a")</f>
        <v>209.58234054353801</v>
      </c>
      <c r="Q194" s="9"/>
      <c r="R194" s="32">
        <f>_xlfn.IFNA(VLOOKUP($A194,[1]IRESS!$A$11:$AE$696,6,FALSE)/100,"n/a")</f>
        <v>10.36</v>
      </c>
      <c r="S194" s="33">
        <f>_xlfn.IFNA(VLOOKUP($A194,[1]IRESS!$A$11:$AE$696,21,FALSE)/100,"n/a")</f>
        <v>10.48</v>
      </c>
      <c r="T194" s="32">
        <f>_xlfn.IFNA(VLOOKUP($A194,[1]IRESS!$A$11:$AE$696,22,FALSE)/100,"n/a")</f>
        <v>9.44</v>
      </c>
      <c r="V194" s="34">
        <f>IFERROR((VLOOKUP($A194,[1]IRESS!$A$11:$AE$696,20,FALSE)/100)/R194,"n/a")</f>
        <v>4.9192084942084949E-3</v>
      </c>
      <c r="W194" s="35">
        <f>IFERROR(VLOOKUP($A194,[1]Morningstar!$A$2:$F$477,3,FALSE),"n/a")</f>
        <v>2.4799999999999999E-2</v>
      </c>
      <c r="X194" s="34">
        <f>IFERROR(VLOOKUP($A194,[1]Morningstar!$A$2:$F$477,4,FALSE),"n/a")</f>
        <v>5.4899999999999997E-2</v>
      </c>
      <c r="Y194" s="35" t="str">
        <f>IFERROR(VLOOKUP($A194,[1]Morningstar!$A$2:$F$477,5,FALSE),"n/a")</f>
        <v>n/a</v>
      </c>
      <c r="Z194" s="34" t="str">
        <f>IFERROR(VLOOKUP($A194,[1]Morningstar!$A$2:$F$477,6,FALSE),"n/a")</f>
        <v>n/a</v>
      </c>
    </row>
    <row r="195" spans="1:26">
      <c r="A195" s="37" t="s">
        <v>211</v>
      </c>
      <c r="B195" s="38"/>
      <c r="C195" s="38"/>
      <c r="D195" s="38"/>
      <c r="E195" s="7"/>
      <c r="F195" s="39"/>
      <c r="G195" s="39"/>
      <c r="H195" s="39"/>
      <c r="I195" s="39"/>
      <c r="J195" s="39"/>
      <c r="K195" s="39"/>
      <c r="L195" s="39"/>
      <c r="M195" s="40"/>
      <c r="N195" s="40"/>
      <c r="O195" s="39"/>
      <c r="P195" s="41"/>
      <c r="Q195" s="9"/>
      <c r="R195" s="42"/>
      <c r="S195" s="42"/>
      <c r="T195" s="42"/>
      <c r="V195" s="43"/>
      <c r="W195" s="44"/>
      <c r="X195" s="44"/>
      <c r="Y195" s="44"/>
      <c r="Z195" s="38"/>
    </row>
    <row r="196" spans="1:26">
      <c r="A196" s="21" t="s">
        <v>212</v>
      </c>
      <c r="B196" s="22" t="s">
        <v>213</v>
      </c>
      <c r="C196" s="23" t="str">
        <f>VLOOKUP(A196,'[1]ETF List'!$A$3:$B$185,2,FALSE)</f>
        <v>ETFS Precious Metals Basket</v>
      </c>
      <c r="D196" s="24"/>
      <c r="E196" s="7"/>
      <c r="F196" s="25">
        <f>_xlfn.IFNA(VLOOKUP(A196,'[1]ETF List'!$A$2:$I$180,6,FALSE),"n/a")</f>
        <v>0.44</v>
      </c>
      <c r="G196" s="26">
        <f>_xlfn.IFNA(VLOOKUP(A196,'[1]ETF List'!$A$2:$J$180,8,FALSE)/1000000,"n/a")</f>
        <v>5.0157789599999996</v>
      </c>
      <c r="H196" s="25">
        <f>_xlfn.IFNA(VLOOKUP(A196,'[1]ETF List'!$A$2:$N$180,14,FALSE)/1000000,"n/a")</f>
        <v>0</v>
      </c>
      <c r="I196" s="26">
        <f>_xlfn.IFNA(VLOOKUP(A196,'[1]ETF List'!$A:$R,18,FALSE)/1000000,"n/a")</f>
        <v>0</v>
      </c>
      <c r="J196" s="27">
        <f>_xlfn.IFNA(VLOOKUP(A196,[1]IRESS!$A$10:$F$875,5,FALSE),"n/a")</f>
        <v>34894.53</v>
      </c>
      <c r="K196" s="28">
        <f>_xlfn.IFNA(VLOOKUP(A196,[1]IRESS!$A$11:$G$684,7,FALSE),"n/a")</f>
        <v>275</v>
      </c>
      <c r="L196" s="27">
        <f>_xlfn.IFNA(VLOOKUP(A196,[1]IRESS!$A$10:$F$875,4,FALSE),"n/a")</f>
        <v>7</v>
      </c>
      <c r="M196" s="29">
        <f t="shared" si="2"/>
        <v>6.9569513087155655E-3</v>
      </c>
      <c r="N196" s="30">
        <f>_xlfn.IFNA(VLOOKUP(A196,[1]Spreads!$A$1:$G$279,2,FALSE),"n/a")</f>
        <v>5.57097097330163E-3</v>
      </c>
      <c r="O196" s="28">
        <f>IFERROR(VLOOKUP(A196,[1]Spreads!$A$1:$G$279,5,FALSE)/1000,"n/a")</f>
        <v>76.330571225587008</v>
      </c>
      <c r="P196" s="31">
        <f>IFERROR(VLOOKUP(A196,[1]Spreads!$A$1:$G$279,6,FALSE)/1000,"n/a")</f>
        <v>76.613760320876509</v>
      </c>
      <c r="Q196" s="9"/>
      <c r="R196" s="32">
        <f>_xlfn.IFNA(VLOOKUP($A196,[1]IRESS!$A$11:$AE$696,6,FALSE)/100,"n/a")</f>
        <v>125.36</v>
      </c>
      <c r="S196" s="33">
        <f>_xlfn.IFNA(VLOOKUP($A196,[1]IRESS!$A$11:$AE$696,21,FALSE)/100,"n/a")</f>
        <v>129</v>
      </c>
      <c r="T196" s="32">
        <f>_xlfn.IFNA(VLOOKUP($A196,[1]IRESS!$A$11:$AE$696,22,FALSE)/100,"n/a")</f>
        <v>115.8</v>
      </c>
      <c r="V196" s="34">
        <f>IFERROR((VLOOKUP($A196,[1]IRESS!$A$11:$AE$696,20,FALSE)/100)/R196,"n/a")</f>
        <v>0</v>
      </c>
      <c r="W196" s="35">
        <f>IFERROR(VLOOKUP($A196,[1]Morningstar!$A$2:$F$477,3,FALSE),"n/a")</f>
        <v>-1.5900000000000001E-2</v>
      </c>
      <c r="X196" s="34">
        <f>IFERROR(VLOOKUP($A196,[1]Morningstar!$A$2:$F$477,4,FALSE),"n/a")</f>
        <v>2.7099999999999999E-2</v>
      </c>
      <c r="Y196" s="35">
        <f>IFERROR(VLOOKUP($A196,[1]Morningstar!$A$2:$F$477,5,FALSE),"n/a")</f>
        <v>2.86E-2</v>
      </c>
      <c r="Z196" s="34">
        <f>IFERROR(VLOOKUP($A196,[1]Morningstar!$A$2:$F$477,6,FALSE),"n/a")</f>
        <v>3.0200000000000001E-2</v>
      </c>
    </row>
    <row r="197" spans="1:26">
      <c r="A197" s="21" t="s">
        <v>214</v>
      </c>
      <c r="B197" s="22" t="s">
        <v>213</v>
      </c>
      <c r="C197" s="23" t="str">
        <f>VLOOKUP(A197,'[1]ETF List'!$A$3:$B$185,2,FALSE)</f>
        <v>ETFS Physical Platinum</v>
      </c>
      <c r="D197" s="24"/>
      <c r="E197" s="7"/>
      <c r="F197" s="25">
        <f>_xlfn.IFNA(VLOOKUP(A197,'[1]ETF List'!$A$2:$I$180,6,FALSE),"n/a")</f>
        <v>0.49</v>
      </c>
      <c r="G197" s="26">
        <f>_xlfn.IFNA(VLOOKUP(A197,'[1]ETF List'!$A$2:$J$180,8,FALSE)/1000000,"n/a")</f>
        <v>1.1362483999999999</v>
      </c>
      <c r="H197" s="25">
        <f>_xlfn.IFNA(VLOOKUP(A197,'[1]ETF List'!$A$2:$N$180,14,FALSE)/1000000,"n/a")</f>
        <v>-1.75587958</v>
      </c>
      <c r="I197" s="26">
        <f>_xlfn.IFNA(VLOOKUP(A197,'[1]ETF List'!$A:$R,18,FALSE)/1000000,"n/a")</f>
        <v>-1.7558795800000002</v>
      </c>
      <c r="J197" s="27">
        <f>_xlfn.IFNA(VLOOKUP(A197,[1]IRESS!$A$10:$F$875,5,FALSE),"n/a")</f>
        <v>145376.23000000001</v>
      </c>
      <c r="K197" s="28">
        <f>_xlfn.IFNA(VLOOKUP(A197,[1]IRESS!$A$11:$G$684,7,FALSE),"n/a")</f>
        <v>1302</v>
      </c>
      <c r="L197" s="27">
        <f>_xlfn.IFNA(VLOOKUP(A197,[1]IRESS!$A$10:$F$875,4,FALSE),"n/a")</f>
        <v>79</v>
      </c>
      <c r="M197" s="29">
        <f t="shared" si="2"/>
        <v>0.12794405695092731</v>
      </c>
      <c r="N197" s="30">
        <f>_xlfn.IFNA(VLOOKUP(A197,[1]Spreads!$A$1:$G$279,2,FALSE),"n/a")</f>
        <v>3.91709882093707E-3</v>
      </c>
      <c r="O197" s="28">
        <f>IFERROR(VLOOKUP(A197,[1]Spreads!$A$1:$G$279,5,FALSE)/1000,"n/a")</f>
        <v>98.574208241765305</v>
      </c>
      <c r="P197" s="31">
        <f>IFERROR(VLOOKUP(A197,[1]Spreads!$A$1:$G$279,6,FALSE)/1000,"n/a")</f>
        <v>37.142939851486197</v>
      </c>
      <c r="Q197" s="9"/>
      <c r="R197" s="32">
        <f>_xlfn.IFNA(VLOOKUP($A197,[1]IRESS!$A$11:$AE$696,6,FALSE)/100,"n/a")</f>
        <v>110.53</v>
      </c>
      <c r="S197" s="33">
        <f>_xlfn.IFNA(VLOOKUP($A197,[1]IRESS!$A$11:$AE$696,21,FALSE)/100,"n/a")</f>
        <v>121.63</v>
      </c>
      <c r="T197" s="32">
        <f>_xlfn.IFNA(VLOOKUP($A197,[1]IRESS!$A$11:$AE$696,22,FALSE)/100,"n/a")</f>
        <v>106.6</v>
      </c>
      <c r="V197" s="34">
        <f>IFERROR((VLOOKUP($A197,[1]IRESS!$A$11:$AE$696,20,FALSE)/100)/R197,"n/a")</f>
        <v>0</v>
      </c>
      <c r="W197" s="35">
        <f>IFERROR(VLOOKUP($A197,[1]Morningstar!$A$2:$F$477,3,FALSE),"n/a")</f>
        <v>-3.5999999999999997E-2</v>
      </c>
      <c r="X197" s="34">
        <f>IFERROR(VLOOKUP($A197,[1]Morningstar!$A$2:$F$477,4,FALSE),"n/a")</f>
        <v>-5.1200000000000002E-2</v>
      </c>
      <c r="Y197" s="35">
        <f>IFERROR(VLOOKUP($A197,[1]Morningstar!$A$2:$F$477,5,FALSE),"n/a")</f>
        <v>-6.2199999999999998E-2</v>
      </c>
      <c r="Z197" s="34">
        <f>IFERROR(VLOOKUP($A197,[1]Morningstar!$A$2:$F$477,6,FALSE),"n/a")</f>
        <v>-4.48E-2</v>
      </c>
    </row>
    <row r="198" spans="1:26">
      <c r="A198" s="21" t="s">
        <v>215</v>
      </c>
      <c r="B198" s="22" t="s">
        <v>213</v>
      </c>
      <c r="C198" s="23" t="str">
        <f>VLOOKUP(A198,'[1]ETF List'!$A$3:$B$185,2,FALSE)</f>
        <v xml:space="preserve">ETFS Physical Silver </v>
      </c>
      <c r="D198" s="24"/>
      <c r="E198" s="7"/>
      <c r="F198" s="25">
        <f>_xlfn.IFNA(VLOOKUP(A198,'[1]ETF List'!$A$2:$I$180,6,FALSE),"n/a")</f>
        <v>0.49</v>
      </c>
      <c r="G198" s="26">
        <f>_xlfn.IFNA(VLOOKUP(A198,'[1]ETF List'!$A$2:$J$180,8,FALSE)/1000000,"n/a")</f>
        <v>58.491398759999996</v>
      </c>
      <c r="H198" s="25">
        <f>_xlfn.IFNA(VLOOKUP(A198,'[1]ETF List'!$A$2:$N$180,14,FALSE)/1000000,"n/a")</f>
        <v>0</v>
      </c>
      <c r="I198" s="26">
        <f>_xlfn.IFNA(VLOOKUP(A198,'[1]ETF List'!$A:$R,18,FALSE)/1000000,"n/a")</f>
        <v>0</v>
      </c>
      <c r="J198" s="27">
        <f>_xlfn.IFNA(VLOOKUP(A198,[1]IRESS!$A$10:$F$875,5,FALSE),"n/a")</f>
        <v>2069546.88</v>
      </c>
      <c r="K198" s="28">
        <f>_xlfn.IFNA(VLOOKUP(A198,[1]IRESS!$A$11:$G$684,7,FALSE),"n/a")</f>
        <v>98049</v>
      </c>
      <c r="L198" s="27">
        <f>_xlfn.IFNA(VLOOKUP(A198,[1]IRESS!$A$10:$F$875,4,FALSE),"n/a")</f>
        <v>207</v>
      </c>
      <c r="M198" s="29">
        <f t="shared" si="2"/>
        <v>3.538207196055778E-2</v>
      </c>
      <c r="N198" s="30">
        <f>_xlfn.IFNA(VLOOKUP(A198,[1]Spreads!$A$1:$G$279,2,FALSE),"n/a")</f>
        <v>2.1429319524431602E-3</v>
      </c>
      <c r="O198" s="28">
        <f>IFERROR(VLOOKUP(A198,[1]Spreads!$A$1:$G$279,5,FALSE)/1000,"n/a")</f>
        <v>206.99139260276598</v>
      </c>
      <c r="P198" s="31">
        <f>IFERROR(VLOOKUP(A198,[1]Spreads!$A$1:$G$279,6,FALSE)/1000,"n/a")</f>
        <v>184.66753304630899</v>
      </c>
      <c r="Q198" s="9"/>
      <c r="R198" s="32">
        <f>_xlfn.IFNA(VLOOKUP($A198,[1]IRESS!$A$11:$AE$696,6,FALSE)/100,"n/a")</f>
        <v>20.84</v>
      </c>
      <c r="S198" s="33">
        <f>_xlfn.IFNA(VLOOKUP($A198,[1]IRESS!$A$11:$AE$696,21,FALSE)/100,"n/a")</f>
        <v>22.05</v>
      </c>
      <c r="T198" s="32">
        <f>_xlfn.IFNA(VLOOKUP($A198,[1]IRESS!$A$11:$AE$696,22,FALSE)/100,"n/a")</f>
        <v>19.32</v>
      </c>
      <c r="V198" s="34">
        <f>IFERROR((VLOOKUP($A198,[1]IRESS!$A$11:$AE$696,20,FALSE)/100)/R198,"n/a")</f>
        <v>0</v>
      </c>
      <c r="W198" s="35">
        <f>IFERROR(VLOOKUP($A198,[1]Morningstar!$A$2:$F$477,3,FALSE),"n/a")</f>
        <v>-1.4E-3</v>
      </c>
      <c r="X198" s="34">
        <f>IFERROR(VLOOKUP($A198,[1]Morningstar!$A$2:$F$477,4,FALSE),"n/a")</f>
        <v>-1E-3</v>
      </c>
      <c r="Y198" s="35">
        <f>IFERROR(VLOOKUP($A198,[1]Morningstar!$A$2:$F$477,5,FALSE),"n/a")</f>
        <v>1.77E-2</v>
      </c>
      <c r="Z198" s="34">
        <f>IFERROR(VLOOKUP($A198,[1]Morningstar!$A$2:$F$477,6,FALSE),"n/a")</f>
        <v>1.1299999999999999E-2</v>
      </c>
    </row>
    <row r="199" spans="1:26">
      <c r="A199" s="21" t="s">
        <v>216</v>
      </c>
      <c r="B199" s="22" t="s">
        <v>213</v>
      </c>
      <c r="C199" s="46" t="str">
        <f>VLOOKUP(A199,'[1]ETF List'!$A$3:$B$185,2,FALSE)</f>
        <v>ETFS Physical Palladium</v>
      </c>
      <c r="D199" s="24"/>
      <c r="E199" s="7"/>
      <c r="F199" s="25">
        <f>_xlfn.IFNA(VLOOKUP(A199,'[1]ETF List'!$A$2:$I$180,6,FALSE),"n/a")</f>
        <v>0.49</v>
      </c>
      <c r="G199" s="26">
        <f>_xlfn.IFNA(VLOOKUP(A199,'[1]ETF List'!$A$2:$J$180,8,FALSE)/1000000,"n/a")</f>
        <v>1.11998822</v>
      </c>
      <c r="H199" s="25">
        <f>_xlfn.IFNA(VLOOKUP(A199,'[1]ETF List'!$A$2:$N$180,14,FALSE)/1000000,"n/a")</f>
        <v>-0.14247376</v>
      </c>
      <c r="I199" s="26">
        <f>_xlfn.IFNA(VLOOKUP(A199,'[1]ETF List'!$A:$R,18,FALSE)/1000000,"n/a")</f>
        <v>-0.14247376</v>
      </c>
      <c r="J199" s="27">
        <f>_xlfn.IFNA(VLOOKUP(A199,[1]IRESS!$A$10:$F$875,5,FALSE),"n/a")</f>
        <v>37611.81</v>
      </c>
      <c r="K199" s="28">
        <f>_xlfn.IFNA(VLOOKUP(A199,[1]IRESS!$A$11:$G$684,7,FALSE),"n/a")</f>
        <v>300</v>
      </c>
      <c r="L199" s="27">
        <f>_xlfn.IFNA(VLOOKUP(A199,[1]IRESS!$A$10:$F$875,4,FALSE),"n/a")</f>
        <v>7</v>
      </c>
      <c r="M199" s="29">
        <f t="shared" si="2"/>
        <v>3.3582326428397612E-2</v>
      </c>
      <c r="N199" s="30">
        <f>_xlfn.IFNA(VLOOKUP(A199,[1]Spreads!$A$1:$G$279,2,FALSE),"n/a")</f>
        <v>7.7712890827665001E-3</v>
      </c>
      <c r="O199" s="28">
        <f>IFERROR(VLOOKUP(A199,[1]Spreads!$A$1:$G$279,5,FALSE)/1000,"n/a")</f>
        <v>37.920445949556999</v>
      </c>
      <c r="P199" s="31">
        <f>IFERROR(VLOOKUP(A199,[1]Spreads!$A$1:$G$279,6,FALSE)/1000,"n/a")</f>
        <v>37.789701737782799</v>
      </c>
      <c r="Q199" s="9"/>
      <c r="R199" s="32">
        <f>_xlfn.IFNA(VLOOKUP($A199,[1]IRESS!$A$11:$AE$696,6,FALSE)/100,"n/a")</f>
        <v>124.54</v>
      </c>
      <c r="S199" s="33">
        <f>_xlfn.IFNA(VLOOKUP($A199,[1]IRESS!$A$11:$AE$696,21,FALSE)/100,"n/a")</f>
        <v>133</v>
      </c>
      <c r="T199" s="32">
        <f>_xlfn.IFNA(VLOOKUP($A199,[1]IRESS!$A$11:$AE$696,22,FALSE)/100,"n/a")</f>
        <v>105.7</v>
      </c>
      <c r="V199" s="34">
        <f>IFERROR((VLOOKUP($A199,[1]IRESS!$A$11:$AE$696,20,FALSE)/100)/R199,"n/a")</f>
        <v>0</v>
      </c>
      <c r="W199" s="35">
        <f>IFERROR(VLOOKUP($A199,[1]Morningstar!$A$2:$F$477,3,FALSE),"n/a")</f>
        <v>-7.7000000000000002E-3</v>
      </c>
      <c r="X199" s="34">
        <f>IFERROR(VLOOKUP($A199,[1]Morningstar!$A$2:$F$477,4,FALSE),"n/a")</f>
        <v>0.14549999999999999</v>
      </c>
      <c r="Y199" s="35">
        <f>IFERROR(VLOOKUP($A199,[1]Morningstar!$A$2:$F$477,5,FALSE),"n/a")</f>
        <v>8.4099999999999994E-2</v>
      </c>
      <c r="Z199" s="34">
        <f>IFERROR(VLOOKUP($A199,[1]Morningstar!$A$2:$F$477,6,FALSE),"n/a")</f>
        <v>0.128</v>
      </c>
    </row>
    <row r="200" spans="1:26">
      <c r="A200" s="21" t="s">
        <v>217</v>
      </c>
      <c r="B200" s="22" t="s">
        <v>218</v>
      </c>
      <c r="C200" s="46" t="str">
        <f>VLOOKUP(A200,'[1]ETF List'!$A$3:$B$185,2,FALSE)</f>
        <v>ETFS Physical Gold</v>
      </c>
      <c r="D200" s="24"/>
      <c r="E200" s="7"/>
      <c r="F200" s="25">
        <f>_xlfn.IFNA(VLOOKUP(A200,'[1]ETF List'!$A$2:$I$180,6,FALSE),"n/a")</f>
        <v>0.4</v>
      </c>
      <c r="G200" s="26">
        <f>_xlfn.IFNA(VLOOKUP(A200,'[1]ETF List'!$A$2:$J$180,8,FALSE)/1000000,"n/a")</f>
        <v>591.16788225000005</v>
      </c>
      <c r="H200" s="25">
        <f>_xlfn.IFNA(VLOOKUP(A200,'[1]ETF List'!$A$2:$N$180,14,FALSE)/1000000,"n/a")</f>
        <v>-10.194460200000048</v>
      </c>
      <c r="I200" s="26">
        <f>_xlfn.IFNA(VLOOKUP(A200,'[1]ETF List'!$A:$R,18,FALSE)/1000000,"n/a")</f>
        <v>-1.4905817806720735E-13</v>
      </c>
      <c r="J200" s="27">
        <f>_xlfn.IFNA(VLOOKUP(A200,[1]IRESS!$A$10:$F$875,5,FALSE),"n/a")</f>
        <v>21842786.88499999</v>
      </c>
      <c r="K200" s="28">
        <f>_xlfn.IFNA(VLOOKUP(A200,[1]IRESS!$A$11:$G$684,7,FALSE),"n/a")</f>
        <v>135131</v>
      </c>
      <c r="L200" s="27">
        <f>_xlfn.IFNA(VLOOKUP(A200,[1]IRESS!$A$10:$F$875,4,FALSE),"n/a")</f>
        <v>1974</v>
      </c>
      <c r="M200" s="29">
        <f t="shared" si="2"/>
        <v>3.6948534487133818E-2</v>
      </c>
      <c r="N200" s="30">
        <f>_xlfn.IFNA(VLOOKUP(A200,[1]Spreads!$A$1:$G$279,2,FALSE),"n/a")</f>
        <v>8.1781274218835104E-4</v>
      </c>
      <c r="O200" s="28">
        <f>IFERROR(VLOOKUP(A200,[1]Spreads!$A$1:$G$279,5,FALSE)/1000,"n/a")</f>
        <v>753.835178599551</v>
      </c>
      <c r="P200" s="31">
        <f>IFERROR(VLOOKUP(A200,[1]Spreads!$A$1:$G$279,6,FALSE)/1000,"n/a")</f>
        <v>633.655263111301</v>
      </c>
      <c r="Q200" s="9"/>
      <c r="R200" s="32">
        <f>_xlfn.IFNA(VLOOKUP($A200,[1]IRESS!$A$11:$AE$696,6,FALSE)/100,"n/a")</f>
        <v>160.05000000000001</v>
      </c>
      <c r="S200" s="33">
        <f>_xlfn.IFNA(VLOOKUP($A200,[1]IRESS!$A$11:$AE$696,21,FALSE)/100,"n/a")</f>
        <v>169</v>
      </c>
      <c r="T200" s="32">
        <f>_xlfn.IFNA(VLOOKUP($A200,[1]IRESS!$A$11:$AE$696,22,FALSE)/100,"n/a")</f>
        <v>147.33000000000001</v>
      </c>
      <c r="V200" s="34">
        <f>IFERROR((VLOOKUP($A200,[1]IRESS!$A$11:$AE$696,20,FALSE)/100)/R200,"n/a")</f>
        <v>0</v>
      </c>
      <c r="W200" s="35">
        <f>IFERROR(VLOOKUP($A200,[1]Morningstar!$A$2:$F$477,3,FALSE),"n/a")</f>
        <v>-1.7299999999999999E-2</v>
      </c>
      <c r="X200" s="34">
        <f>IFERROR(VLOOKUP($A200,[1]Morningstar!$A$2:$F$477,4,FALSE),"n/a")</f>
        <v>4.1599999999999998E-2</v>
      </c>
      <c r="Y200" s="35">
        <f>IFERROR(VLOOKUP($A200,[1]Morningstar!$A$2:$F$477,5,FALSE),"n/a")</f>
        <v>2.9499999999999998E-2</v>
      </c>
      <c r="Z200" s="34">
        <f>IFERROR(VLOOKUP($A200,[1]Morningstar!$A$2:$F$477,6,FALSE),"n/a")</f>
        <v>4.9700000000000001E-2</v>
      </c>
    </row>
    <row r="201" spans="1:26">
      <c r="A201" s="21" t="s">
        <v>219</v>
      </c>
      <c r="B201" s="22" t="s">
        <v>28</v>
      </c>
      <c r="C201" s="51" t="str">
        <f>VLOOKUP(A201,'[1]ETF List'!$A$3:$B$185,2,FALSE)</f>
        <v>BetaShares Crude Oil Index ETF-Currency Hedged (Synthetic)</v>
      </c>
      <c r="D201" s="24"/>
      <c r="E201" s="7"/>
      <c r="F201" s="25">
        <f>_xlfn.IFNA(VLOOKUP(A201,'[1]ETF List'!$A$2:$I$180,6,FALSE),"n/a")</f>
        <v>0.69</v>
      </c>
      <c r="G201" s="26">
        <f>_xlfn.IFNA(VLOOKUP(A201,'[1]ETF List'!$A$2:$J$180,8,FALSE)/1000000,"n/a")</f>
        <v>32.777683879999998</v>
      </c>
      <c r="H201" s="25">
        <f>_xlfn.IFNA(VLOOKUP(A201,'[1]ETF List'!$A$2:$N$180,14,FALSE)/1000000,"n/a")</f>
        <v>2.2034066199999973</v>
      </c>
      <c r="I201" s="26">
        <f>_xlfn.IFNA(VLOOKUP(A201,'[1]ETF List'!$A:$R,18,FALSE)/1000000,"n/a")</f>
        <v>0</v>
      </c>
      <c r="J201" s="27">
        <f>_xlfn.IFNA(VLOOKUP(A201,[1]IRESS!$A$10:$F$875,5,FALSE),"n/a")</f>
        <v>6441372.2800000012</v>
      </c>
      <c r="K201" s="28">
        <f>_xlfn.IFNA(VLOOKUP(A201,[1]IRESS!$A$11:$G$684,7,FALSE),"n/a")</f>
        <v>333614</v>
      </c>
      <c r="L201" s="27">
        <f>_xlfn.IFNA(VLOOKUP(A201,[1]IRESS!$A$10:$F$875,4,FALSE),"n/a")</f>
        <v>265</v>
      </c>
      <c r="M201" s="29">
        <f t="shared" si="2"/>
        <v>0.19651700539861333</v>
      </c>
      <c r="N201" s="30">
        <f>_xlfn.IFNA(VLOOKUP(A201,[1]Spreads!$A$1:$G$279,2,FALSE),"n/a")</f>
        <v>2.6572759827317798E-3</v>
      </c>
      <c r="O201" s="28">
        <f>IFERROR(VLOOKUP(A201,[1]Spreads!$A$1:$G$279,5,FALSE)/1000,"n/a")</f>
        <v>455.54645918621299</v>
      </c>
      <c r="P201" s="31">
        <f>IFERROR(VLOOKUP(A201,[1]Spreads!$A$1:$G$279,6,FALSE)/1000,"n/a")</f>
        <v>422.27412484999002</v>
      </c>
      <c r="Q201" s="9"/>
      <c r="R201" s="32">
        <f>_xlfn.IFNA(VLOOKUP($A201,[1]IRESS!$A$11:$AE$696,6,FALSE)/100,"n/a")</f>
        <v>20.38</v>
      </c>
      <c r="S201" s="33">
        <f>_xlfn.IFNA(VLOOKUP($A201,[1]IRESS!$A$11:$AE$696,21,FALSE)/100,"n/a")</f>
        <v>20.52</v>
      </c>
      <c r="T201" s="32">
        <f>_xlfn.IFNA(VLOOKUP($A201,[1]IRESS!$A$11:$AE$696,22,FALSE)/100,"n/a")</f>
        <v>12.67</v>
      </c>
      <c r="V201" s="34">
        <f>IFERROR((VLOOKUP($A201,[1]IRESS!$A$11:$AE$696,20,FALSE)/100)/R201,"n/a")</f>
        <v>1.289308145240432E-2</v>
      </c>
      <c r="W201" s="35">
        <f>IFERROR(VLOOKUP($A201,[1]Morningstar!$A$2:$F$477,3,FALSE),"n/a")</f>
        <v>9.2899999999999996E-2</v>
      </c>
      <c r="X201" s="34">
        <f>IFERROR(VLOOKUP($A201,[1]Morningstar!$A$2:$F$477,4,FALSE),"n/a")</f>
        <v>0.58069999999999999</v>
      </c>
      <c r="Y201" s="35">
        <f>IFERROR(VLOOKUP($A201,[1]Morningstar!$A$2:$F$477,5,FALSE),"n/a")</f>
        <v>-9.2999999999999999E-2</v>
      </c>
      <c r="Z201" s="34">
        <f>IFERROR(VLOOKUP($A201,[1]Morningstar!$A$2:$F$477,6,FALSE),"n/a")</f>
        <v>-0.15409999999999999</v>
      </c>
    </row>
    <row r="202" spans="1:26">
      <c r="A202" s="21" t="s">
        <v>220</v>
      </c>
      <c r="B202" s="22" t="s">
        <v>213</v>
      </c>
      <c r="C202" s="46" t="str">
        <f>VLOOKUP(A202,'[1]ETF List'!$A$3:$B$185,2,FALSE)</f>
        <v>Perth Mint Gold</v>
      </c>
      <c r="D202" s="24"/>
      <c r="E202" s="7"/>
      <c r="F202" s="25">
        <f>_xlfn.IFNA(VLOOKUP(A202,'[1]ETF List'!$A$2:$I$180,6,FALSE),"n/a")</f>
        <v>0.15</v>
      </c>
      <c r="G202" s="26">
        <f>_xlfn.IFNA(VLOOKUP(A202,'[1]ETF List'!$A$2:$J$180,8,FALSE)/1000000,"n/a")</f>
        <v>132.54223694999999</v>
      </c>
      <c r="H202" s="25">
        <f>_xlfn.IFNA(VLOOKUP(A202,'[1]ETF List'!$A$2:$N$180,14,FALSE)/1000000,"n/a")</f>
        <v>-1.7153398500000239</v>
      </c>
      <c r="I202" s="26">
        <f>_xlfn.IFNA(VLOOKUP(A202,'[1]ETF List'!$A:$R,18,FALSE)/1000000,"n/a")</f>
        <v>8.2054949999984209E-2</v>
      </c>
      <c r="J202" s="27">
        <f>_xlfn.IFNA(VLOOKUP(A202,[1]IRESS!$A$10:$F$875,5,FALSE),"n/a")</f>
        <v>3552361.2400000007</v>
      </c>
      <c r="K202" s="28">
        <f>_xlfn.IFNA(VLOOKUP(A202,[1]IRESS!$A$11:$G$684,7,FALSE),"n/a")</f>
        <v>207516</v>
      </c>
      <c r="L202" s="27">
        <f>_xlfn.IFNA(VLOOKUP(A202,[1]IRESS!$A$10:$F$875,4,FALSE),"n/a")</f>
        <v>211</v>
      </c>
      <c r="M202" s="29">
        <f t="shared" si="2"/>
        <v>2.6801729937152696E-2</v>
      </c>
      <c r="N202" s="30">
        <f>_xlfn.IFNA(VLOOKUP(A202,[1]Spreads!$A$1:$G$279,2,FALSE),"n/a")</f>
        <v>3.56091041406423E-3</v>
      </c>
      <c r="O202" s="28">
        <f>IFERROR(VLOOKUP(A202,[1]Spreads!$A$1:$G$279,5,FALSE)/1000,"n/a")</f>
        <v>248.64117553165102</v>
      </c>
      <c r="P202" s="31">
        <f>IFERROR(VLOOKUP(A202,[1]Spreads!$A$1:$G$279,6,FALSE)/1000,"n/a")</f>
        <v>260.21097766637399</v>
      </c>
      <c r="Q202" s="9"/>
      <c r="R202" s="32">
        <f>_xlfn.IFNA(VLOOKUP($A202,[1]IRESS!$A$11:$AE$696,6,FALSE)/100,"n/a")</f>
        <v>16.95</v>
      </c>
      <c r="S202" s="33">
        <f>_xlfn.IFNA(VLOOKUP($A202,[1]IRESS!$A$11:$AE$696,21,FALSE)/100,"n/a")</f>
        <v>17.690000000000001</v>
      </c>
      <c r="T202" s="32">
        <f>_xlfn.IFNA(VLOOKUP($A202,[1]IRESS!$A$11:$AE$696,22,FALSE)/100,"n/a")</f>
        <v>15.6</v>
      </c>
      <c r="V202" s="34">
        <f>IFERROR((VLOOKUP($A202,[1]IRESS!$A$11:$AE$696,20,FALSE)/100)/R202,"n/a")</f>
        <v>0</v>
      </c>
      <c r="W202" s="35">
        <f>IFERROR(VLOOKUP($A202,[1]Morningstar!$A$2:$F$477,3,FALSE),"n/a")</f>
        <v>-1.7999999999999999E-2</v>
      </c>
      <c r="X202" s="34">
        <f>IFERROR(VLOOKUP($A202,[1]Morningstar!$A$2:$F$477,4,FALSE),"n/a")</f>
        <v>5.1499999999999997E-2</v>
      </c>
      <c r="Y202" s="35">
        <f>IFERROR(VLOOKUP($A202,[1]Morningstar!$A$2:$F$477,5,FALSE),"n/a")</f>
        <v>3.5799999999999998E-2</v>
      </c>
      <c r="Z202" s="34">
        <f>IFERROR(VLOOKUP($A202,[1]Morningstar!$A$2:$F$477,6,FALSE),"n/a")</f>
        <v>5.5300000000000002E-2</v>
      </c>
    </row>
    <row r="203" spans="1:26" s="36" customFormat="1">
      <c r="A203" s="21" t="s">
        <v>221</v>
      </c>
      <c r="B203" s="22" t="s">
        <v>28</v>
      </c>
      <c r="C203" s="52" t="str">
        <f>VLOOKUP(A203,'[1]ETF List'!$A$3:$B$185,2,FALSE)</f>
        <v>BetaShares Agriculture ETF-Currency Hedged (Synthetic)</v>
      </c>
      <c r="D203" s="24"/>
      <c r="E203" s="7"/>
      <c r="F203" s="25">
        <f>_xlfn.IFNA(VLOOKUP(A203,'[1]ETF List'!$A$2:$I$180,6,FALSE),"n/a")</f>
        <v>0.69</v>
      </c>
      <c r="G203" s="26">
        <f>_xlfn.IFNA(VLOOKUP(A203,'[1]ETF List'!$A$2:$J$180,8,FALSE)/1000000,"n/a")</f>
        <v>2.91866344</v>
      </c>
      <c r="H203" s="25">
        <f>_xlfn.IFNA(VLOOKUP(A203,'[1]ETF List'!$A$2:$N$180,14,FALSE)/1000000,"n/a")</f>
        <v>-0.3751871200000001</v>
      </c>
      <c r="I203" s="26">
        <f>_xlfn.IFNA(VLOOKUP(A203,'[1]ETF List'!$A:$R,18,FALSE)/1000000,"n/a")</f>
        <v>0</v>
      </c>
      <c r="J203" s="27">
        <f>_xlfn.IFNA(VLOOKUP(A203,[1]IRESS!$A$10:$F$875,5,FALSE),"n/a")</f>
        <v>467157.95999999996</v>
      </c>
      <c r="K203" s="28">
        <f>_xlfn.IFNA(VLOOKUP(A203,[1]IRESS!$A$11:$G$684,7,FALSE),"n/a")</f>
        <v>74664</v>
      </c>
      <c r="L203" s="27">
        <f>_xlfn.IFNA(VLOOKUP(A203,[1]IRESS!$A$10:$F$875,4,FALSE),"n/a")</f>
        <v>38</v>
      </c>
      <c r="M203" s="29">
        <f t="shared" si="2"/>
        <v>0.16005886584854059</v>
      </c>
      <c r="N203" s="30">
        <f>_xlfn.IFNA(VLOOKUP(A203,[1]Spreads!$A$1:$G$279,2,FALSE),"n/a")</f>
        <v>8.4782433678238997E-3</v>
      </c>
      <c r="O203" s="28">
        <f>IFERROR(VLOOKUP(A203,[1]Spreads!$A$1:$G$279,5,FALSE)/1000,"n/a")</f>
        <v>115.51566930785501</v>
      </c>
      <c r="P203" s="31">
        <f>IFERROR(VLOOKUP(A203,[1]Spreads!$A$1:$G$279,6,FALSE)/1000,"n/a")</f>
        <v>101.160837552674</v>
      </c>
      <c r="Q203" s="9"/>
      <c r="R203" s="32">
        <f>_xlfn.IFNA(VLOOKUP($A203,[1]IRESS!$A$11:$AE$696,6,FALSE)/100,"n/a")</f>
        <v>5.99</v>
      </c>
      <c r="S203" s="33">
        <f>_xlfn.IFNA(VLOOKUP($A203,[1]IRESS!$A$11:$AE$696,21,FALSE)/100,"n/a")</f>
        <v>7.65</v>
      </c>
      <c r="T203" s="32">
        <f>_xlfn.IFNA(VLOOKUP($A203,[1]IRESS!$A$11:$AE$696,22,FALSE)/100,"n/a")</f>
        <v>5.9</v>
      </c>
      <c r="U203" s="7"/>
      <c r="V203" s="34">
        <f>IFERROR((VLOOKUP($A203,[1]IRESS!$A$11:$AE$696,20,FALSE)/100)/R203,"n/a")</f>
        <v>0</v>
      </c>
      <c r="W203" s="35">
        <f>IFERROR(VLOOKUP($A203,[1]Morningstar!$A$2:$F$477,3,FALSE),"n/a")</f>
        <v>-0.14199999999999999</v>
      </c>
      <c r="X203" s="34">
        <f>IFERROR(VLOOKUP($A203,[1]Morningstar!$A$2:$F$477,4,FALSE),"n/a")</f>
        <v>-0.13900000000000001</v>
      </c>
      <c r="Y203" s="35">
        <f>IFERROR(VLOOKUP($A203,[1]Morningstar!$A$2:$F$477,5,FALSE),"n/a")</f>
        <v>-0.10730000000000001</v>
      </c>
      <c r="Z203" s="34">
        <f>IFERROR(VLOOKUP($A203,[1]Morningstar!$A$2:$F$477,6,FALSE),"n/a")</f>
        <v>-0.1182</v>
      </c>
    </row>
    <row r="204" spans="1:26">
      <c r="A204" s="21" t="s">
        <v>222</v>
      </c>
      <c r="B204" s="22" t="s">
        <v>28</v>
      </c>
      <c r="C204" s="51" t="str">
        <f>VLOOKUP(A204,'[1]ETF List'!$A$3:$B$185,2,FALSE)</f>
        <v>BetaShares Gold Bullion ETF (AU$ Hedged)</v>
      </c>
      <c r="D204" s="24"/>
      <c r="E204" s="7"/>
      <c r="F204" s="25">
        <f>_xlfn.IFNA(VLOOKUP(A204,'[1]ETF List'!$A$2:$I$180,6,FALSE),"n/a")</f>
        <v>0.59</v>
      </c>
      <c r="G204" s="26">
        <f>_xlfn.IFNA(VLOOKUP(A204,'[1]ETF List'!$A$2:$J$180,8,FALSE)/1000000,"n/a")</f>
        <v>57.208294880000004</v>
      </c>
      <c r="H204" s="25">
        <f>_xlfn.IFNA(VLOOKUP(A204,'[1]ETF List'!$A$2:$N$180,14,FALSE)/1000000,"n/a")</f>
        <v>-1.0417855699999929</v>
      </c>
      <c r="I204" s="26">
        <f>_xlfn.IFNA(VLOOKUP(A204,'[1]ETF List'!$A:$R,18,FALSE)/1000000,"n/a")</f>
        <v>1.38349659</v>
      </c>
      <c r="J204" s="27">
        <f>_xlfn.IFNA(VLOOKUP(A204,[1]IRESS!$A$10:$F$875,5,FALSE),"n/a")</f>
        <v>2964853.7</v>
      </c>
      <c r="K204" s="28">
        <f>_xlfn.IFNA(VLOOKUP(A204,[1]IRESS!$A$11:$G$684,7,FALSE),"n/a")</f>
        <v>225538</v>
      </c>
      <c r="L204" s="27">
        <f>_xlfn.IFNA(VLOOKUP(A204,[1]IRESS!$A$10:$F$875,4,FALSE),"n/a")</f>
        <v>181</v>
      </c>
      <c r="M204" s="29">
        <f t="shared" si="2"/>
        <v>5.1825591135325234E-2</v>
      </c>
      <c r="N204" s="30">
        <f>_xlfn.IFNA(VLOOKUP(A204,[1]Spreads!$A$1:$G$279,2,FALSE),"n/a")</f>
        <v>2.2308292446270401E-3</v>
      </c>
      <c r="O204" s="28">
        <f>IFERROR(VLOOKUP(A204,[1]Spreads!$A$1:$G$279,5,FALSE)/1000,"n/a")</f>
        <v>651.988767038741</v>
      </c>
      <c r="P204" s="31">
        <f>IFERROR(VLOOKUP(A204,[1]Spreads!$A$1:$G$279,6,FALSE)/1000,"n/a")</f>
        <v>379.46392076556299</v>
      </c>
      <c r="Q204" s="9"/>
      <c r="R204" s="32">
        <f>_xlfn.IFNA(VLOOKUP($A204,[1]IRESS!$A$11:$AE$696,6,FALSE)/100,"n/a")</f>
        <v>12.89</v>
      </c>
      <c r="S204" s="33">
        <f>_xlfn.IFNA(VLOOKUP($A204,[1]IRESS!$A$11:$AE$696,21,FALSE)/100,"n/a")</f>
        <v>14.49</v>
      </c>
      <c r="T204" s="32">
        <f>_xlfn.IFNA(VLOOKUP($A204,[1]IRESS!$A$11:$AE$696,22,FALSE)/100,"n/a")</f>
        <v>12.22</v>
      </c>
      <c r="V204" s="34">
        <f>IFERROR((VLOOKUP($A204,[1]IRESS!$A$11:$AE$696,20,FALSE)/100)/R204,"n/a")</f>
        <v>0</v>
      </c>
      <c r="W204" s="35">
        <f>IFERROR(VLOOKUP($A204,[1]Morningstar!$A$2:$F$477,3,FALSE),"n/a")</f>
        <v>-3.9E-2</v>
      </c>
      <c r="X204" s="34">
        <f>IFERROR(VLOOKUP($A204,[1]Morningstar!$A$2:$F$477,4,FALSE),"n/a")</f>
        <v>-1.1599999999999999E-2</v>
      </c>
      <c r="Y204" s="35">
        <f>IFERROR(VLOOKUP($A204,[1]Morningstar!$A$2:$F$477,5,FALSE),"n/a")</f>
        <v>1.38E-2</v>
      </c>
      <c r="Z204" s="34">
        <f>IFERROR(VLOOKUP($A204,[1]Morningstar!$A$2:$F$477,6,FALSE),"n/a")</f>
        <v>6.4000000000000003E-3</v>
      </c>
    </row>
    <row r="205" spans="1:26">
      <c r="A205" s="21" t="s">
        <v>223</v>
      </c>
      <c r="B205" s="22" t="s">
        <v>28</v>
      </c>
      <c r="C205" s="51" t="str">
        <f>VLOOKUP(A205,'[1]ETF List'!$A$3:$B$185,2,FALSE)</f>
        <v>BetaShares Commodities Basket ETF-Currency Hedged (Synthetic)</v>
      </c>
      <c r="D205" s="24"/>
      <c r="E205" s="7"/>
      <c r="F205" s="25">
        <f>_xlfn.IFNA(VLOOKUP(A205,'[1]ETF List'!$A$2:$I$180,6,FALSE),"n/a")</f>
        <v>0.69</v>
      </c>
      <c r="G205" s="26">
        <f>_xlfn.IFNA(VLOOKUP(A205,'[1]ETF List'!$A$2:$J$180,8,FALSE)/1000000,"n/a")</f>
        <v>11.067460000000001</v>
      </c>
      <c r="H205" s="25">
        <f>_xlfn.IFNA(VLOOKUP(A205,'[1]ETF List'!$A$2:$N$180,14,FALSE)/1000000,"n/a")</f>
        <v>-0.51685599999999998</v>
      </c>
      <c r="I205" s="26">
        <f>_xlfn.IFNA(VLOOKUP(A205,'[1]ETF List'!$A:$R,18,FALSE)/1000000,"n/a")</f>
        <v>0</v>
      </c>
      <c r="J205" s="27">
        <f>_xlfn.IFNA(VLOOKUP(A205,[1]IRESS!$A$10:$F$875,5,FALSE),"n/a")</f>
        <v>766147.94</v>
      </c>
      <c r="K205" s="28">
        <f>_xlfn.IFNA(VLOOKUP(A205,[1]IRESS!$A$11:$G$684,7,FALSE),"n/a")</f>
        <v>76638</v>
      </c>
      <c r="L205" s="27">
        <f>_xlfn.IFNA(VLOOKUP(A205,[1]IRESS!$A$10:$F$875,4,FALSE),"n/a")</f>
        <v>77</v>
      </c>
      <c r="M205" s="29">
        <f t="shared" si="2"/>
        <v>6.9225273007537405E-2</v>
      </c>
      <c r="N205" s="30">
        <f>_xlfn.IFNA(VLOOKUP(A205,[1]Spreads!$A$1:$G$279,2,FALSE),"n/a")</f>
        <v>8.0529495055863803E-3</v>
      </c>
      <c r="O205" s="28">
        <f>IFERROR(VLOOKUP(A205,[1]Spreads!$A$1:$G$279,5,FALSE)/1000,"n/a")</f>
        <v>121.040150293246</v>
      </c>
      <c r="P205" s="31">
        <f>IFERROR(VLOOKUP(A205,[1]Spreads!$A$1:$G$279,6,FALSE)/1000,"n/a")</f>
        <v>128.72711836015699</v>
      </c>
      <c r="Q205" s="9"/>
      <c r="R205" s="32">
        <f>_xlfn.IFNA(VLOOKUP($A205,[1]IRESS!$A$11:$AE$696,6,FALSE)/100,"n/a")</f>
        <v>9.85</v>
      </c>
      <c r="S205" s="33">
        <f>_xlfn.IFNA(VLOOKUP($A205,[1]IRESS!$A$11:$AE$696,21,FALSE)/100,"n/a")</f>
        <v>11</v>
      </c>
      <c r="T205" s="32">
        <f>_xlfn.IFNA(VLOOKUP($A205,[1]IRESS!$A$11:$AE$696,22,FALSE)/100,"n/a")</f>
        <v>8.9499999999999993</v>
      </c>
      <c r="V205" s="34">
        <f>IFERROR((VLOOKUP($A205,[1]IRESS!$A$11:$AE$696,20,FALSE)/100)/R205,"n/a")</f>
        <v>7.9603857868020308E-2</v>
      </c>
      <c r="W205" s="35">
        <f>IFERROR(VLOOKUP($A205,[1]Morningstar!$A$2:$F$477,3,FALSE),"n/a")</f>
        <v>-4.65E-2</v>
      </c>
      <c r="X205" s="34">
        <f>IFERROR(VLOOKUP($A205,[1]Morningstar!$A$2:$F$477,4,FALSE),"n/a")</f>
        <v>0.1002</v>
      </c>
      <c r="Y205" s="35">
        <f>IFERROR(VLOOKUP($A205,[1]Morningstar!$A$2:$F$477,5,FALSE),"n/a")</f>
        <v>-4.8899999999999999E-2</v>
      </c>
      <c r="Z205" s="34">
        <f>IFERROR(VLOOKUP($A205,[1]Morningstar!$A$2:$F$477,6,FALSE),"n/a")</f>
        <v>-7.9699999999999993E-2</v>
      </c>
    </row>
    <row r="206" spans="1:26">
      <c r="A206" s="21" t="s">
        <v>224</v>
      </c>
      <c r="B206" s="22" t="s">
        <v>28</v>
      </c>
      <c r="C206" s="51" t="str">
        <f>VLOOKUP(A206,'[1]ETF List'!$A$3:$B$185,2,FALSE)</f>
        <v>ETFS Physical Gold ETF</v>
      </c>
      <c r="D206" s="24"/>
      <c r="E206" s="7"/>
      <c r="F206" s="25">
        <f>_xlfn.IFNA(VLOOKUP(A206,'[1]ETF List'!$A$2:$I$180,6,FALSE),"n/a")</f>
        <v>0.4</v>
      </c>
      <c r="G206" s="26">
        <f>_xlfn.IFNA(VLOOKUP(A206,'[1]ETF List'!$A$2:$J$180,8,FALSE)/1000000,"n/a")</f>
        <v>13.467682360000001</v>
      </c>
      <c r="H206" s="25">
        <f>_xlfn.IFNA(VLOOKUP(A206,'[1]ETF List'!$A$2:$N$180,14,FALSE)/1000000,"n/a")</f>
        <v>-0.17678341999999991</v>
      </c>
      <c r="I206" s="26">
        <f>_xlfn.IFNA(VLOOKUP(A206,'[1]ETF List'!$A:$R,18,FALSE)/1000000,"n/a")</f>
        <v>0</v>
      </c>
      <c r="J206" s="27">
        <f>_xlfn.IFNA(VLOOKUP(A206,[1]IRESS!$A$10:$F$875,5,FALSE),"n/a")</f>
        <v>2438117.21</v>
      </c>
      <c r="K206" s="28">
        <f>_xlfn.IFNA(VLOOKUP(A206,[1]IRESS!$A$11:$G$684,7,FALSE),"n/a")</f>
        <v>146048</v>
      </c>
      <c r="L206" s="27">
        <f>_xlfn.IFNA(VLOOKUP(A206,[1]IRESS!$A$10:$F$875,4,FALSE),"n/a")</f>
        <v>287</v>
      </c>
      <c r="M206" s="29">
        <f t="shared" si="2"/>
        <v>0.18103465353781922</v>
      </c>
      <c r="N206" s="30">
        <f>_xlfn.IFNA(VLOOKUP(A206,[1]Spreads!$A$1:$G$279,2,FALSE),"n/a")</f>
        <v>9.2735941114495506E-3</v>
      </c>
      <c r="O206" s="28">
        <f>IFERROR(VLOOKUP(A206,[1]Spreads!$A$1:$G$279,5,FALSE)/1000,"n/a")</f>
        <v>213.64101333333298</v>
      </c>
      <c r="P206" s="31">
        <f>IFERROR(VLOOKUP(A206,[1]Spreads!$A$1:$G$279,6,FALSE)/1000,"n/a")</f>
        <v>141.60715111111099</v>
      </c>
      <c r="Q206" s="9"/>
      <c r="R206" s="32">
        <f>_xlfn.IFNA(VLOOKUP($A206,[1]IRESS!$A$11:$AE$696,6,FALSE)/100,"n/a")</f>
        <v>16.760000000000002</v>
      </c>
      <c r="S206" s="33">
        <f>_xlfn.IFNA(VLOOKUP($A206,[1]IRESS!$A$11:$AE$696,21,FALSE)/100,"n/a")</f>
        <v>17.5</v>
      </c>
      <c r="T206" s="32">
        <f>_xlfn.IFNA(VLOOKUP($A206,[1]IRESS!$A$11:$AE$696,22,FALSE)/100,"n/a")</f>
        <v>15.46</v>
      </c>
      <c r="V206" s="34">
        <f>IFERROR((VLOOKUP($A206,[1]IRESS!$A$11:$AE$696,20,FALSE)/100)/R206,"n/a")</f>
        <v>0</v>
      </c>
      <c r="W206" s="35">
        <f>IFERROR(VLOOKUP($A206,[1]Morningstar!$A$2:$F$477,3,FALSE),"n/a")</f>
        <v>-1.23E-2</v>
      </c>
      <c r="X206" s="34">
        <f>IFERROR(VLOOKUP($A206,[1]Morningstar!$A$2:$F$477,4,FALSE),"n/a")</f>
        <v>4.2000000000000003E-2</v>
      </c>
      <c r="Y206" s="35">
        <f>IFERROR(VLOOKUP($A206,[1]Morningstar!$A$2:$F$477,5,FALSE),"n/a")</f>
        <v>3.1699999999999999E-2</v>
      </c>
      <c r="Z206" s="34" t="str">
        <f>IFERROR(VLOOKUP($A206,[1]Morningstar!$A$2:$F$477,6,FALSE),"n/a")</f>
        <v>n/a</v>
      </c>
    </row>
    <row r="207" spans="1:26">
      <c r="A207" s="37" t="s">
        <v>225</v>
      </c>
      <c r="B207" s="53"/>
      <c r="C207" s="53"/>
      <c r="D207" s="53"/>
      <c r="E207" s="7"/>
      <c r="F207" s="54"/>
      <c r="G207" s="54"/>
      <c r="H207" s="54"/>
      <c r="I207" s="54"/>
      <c r="J207" s="39"/>
      <c r="K207" s="39"/>
      <c r="L207" s="39"/>
      <c r="M207" s="40"/>
      <c r="N207" s="40"/>
      <c r="O207" s="39"/>
      <c r="P207" s="41"/>
      <c r="Q207" s="9"/>
      <c r="R207" s="42"/>
      <c r="S207" s="42"/>
      <c r="T207" s="42"/>
      <c r="V207" s="37"/>
      <c r="W207" s="53"/>
      <c r="X207" s="53"/>
      <c r="Y207" s="53"/>
      <c r="Z207" s="53"/>
    </row>
    <row r="208" spans="1:26">
      <c r="A208" s="21" t="s">
        <v>226</v>
      </c>
      <c r="B208" s="22" t="s">
        <v>227</v>
      </c>
      <c r="C208" s="46" t="str">
        <f>VLOOKUP((A208&amp;".ASX"),[1]IRESS!$J$11:$R$681,8,FALSE)</f>
        <v>S&amp;P/ASX 200 Accumulation</v>
      </c>
      <c r="D208" s="24"/>
      <c r="E208" s="7"/>
      <c r="F208" s="25" t="str">
        <f>_xlfn.IFNA(VLOOKUP(A208,'[1]ETF List'!$A$3:$I$180,6,FALSE),"n/a")</f>
        <v>n/a</v>
      </c>
      <c r="G208" s="26" t="str">
        <f>_xlfn.IFNA(VLOOKUP(A208,'[1]ETF List'!$A$3:$J$180,8,FALSE)/1000000,"n/a")</f>
        <v>n/a</v>
      </c>
      <c r="H208" s="25" t="str">
        <f>_xlfn.IFNA(VLOOKUP(A208,'[1]ETF List'!$A$3:$N$180,14,FALSE)/1000000,"n/a")</f>
        <v>n/a</v>
      </c>
      <c r="I208" s="26" t="str">
        <f ca="1">_xlfn.IFNA(VLOOKUP(A208,'[1]ETF List'!$A:$R,18,FALSE)/1000000,"n/a")</f>
        <v>n/a</v>
      </c>
      <c r="J208" s="27">
        <f>_xlfn.IFNA(VLOOKUP(A208,[1]IRESS!$A$10:$F$875,5,FALSE),"n/a")</f>
        <v>0</v>
      </c>
      <c r="K208" s="28">
        <f>_xlfn.IFNA(VLOOKUP(A208,[1]IRESS!$A$11:$G$684,7,FALSE),"n/a")</f>
        <v>0</v>
      </c>
      <c r="L208" s="27">
        <f>_xlfn.IFNA(VLOOKUP(A208,[1]IRESS!$A$10:$F$875,4,FALSE),"n/a")</f>
        <v>0</v>
      </c>
      <c r="M208" s="29" t="str">
        <f t="shared" ref="M208:M218" si="3">IFERROR(+J208/(G208*1000000),"n/a")</f>
        <v>n/a</v>
      </c>
      <c r="N208" s="30" t="str">
        <f>_xlfn.IFNA(VLOOKUP(A208,[1]Spreads!$A$1:$G$279,2,FALSE),"n/a")</f>
        <v>n/a</v>
      </c>
      <c r="O208" s="28" t="str">
        <f>IFERROR(VLOOKUP(A208,[1]Spreads!$A$1:$G$279,5,FALSE)/1000,"n/a")</f>
        <v>n/a</v>
      </c>
      <c r="P208" s="31" t="str">
        <f>IFERROR(VLOOKUP(A208,[1]Spreads!$A$1:$G$279,6,FALSE)/1000,"n/a")</f>
        <v>n/a</v>
      </c>
      <c r="Q208" s="9"/>
      <c r="R208" s="32">
        <f>VLOOKUP(($A208&amp;".ASX"),[1]IRESS!$AF$11:$AG$681,2,FALSE)</f>
        <v>63015.407839308253</v>
      </c>
      <c r="S208" s="33">
        <f>VLOOKUP($A208,[1]IRESS!$A$11:$AE$696,21,FALSE)</f>
        <v>63270.451990326314</v>
      </c>
      <c r="T208" s="32">
        <f>VLOOKUP($A208,[1]IRESS!$A$11:$AE$696,22,FALSE)</f>
        <v>55296.57681594212</v>
      </c>
      <c r="V208" s="34"/>
      <c r="W208" s="35">
        <f>IFERROR(($R208-VLOOKUP($A208,[1]IRESS!$A$11:$AE$696,25,FALSE))/(VLOOKUP($A208,[1]IRESS!$A$11:$AE$696,25,FALSE)),"n/a")</f>
        <v>3.7461315862249253E-2</v>
      </c>
      <c r="X208" s="34">
        <f>IFERROR(($R208-VLOOKUP($A208,[1]IRESS!$A$11:$AE$696,27,FALSE))/(VLOOKUP($A208,[1]IRESS!$A$11:$AE$696,27,FALSE)),"n/a")</f>
        <v>0.13014760443980347</v>
      </c>
      <c r="Y208" s="55">
        <f>IFERROR((($R208/VLOOKUP($A208,[1]IRESS!$A$11:$AE$696,29,FALSE))^(1/3)-1),"n/a")</f>
        <v>9.0427391805817159E-2</v>
      </c>
      <c r="Z208" s="34">
        <f>IFERROR((($R208/VLOOKUP($A208,[1]IRESS!$A$11:$AE$696,31,FALSE))^(1/5)-1),"n/a")</f>
        <v>9.9799624905136719E-2</v>
      </c>
    </row>
    <row r="209" spans="1:26">
      <c r="A209" s="21" t="s">
        <v>228</v>
      </c>
      <c r="B209" s="22" t="s">
        <v>227</v>
      </c>
      <c r="C209" s="46" t="str">
        <f>VLOOKUP((A209&amp;".ASX"),[1]IRESS!$J$11:$R$681,8,FALSE)</f>
        <v>S&amp;P/ASX Small Ords Accumulation</v>
      </c>
      <c r="D209" s="24"/>
      <c r="E209" s="7"/>
      <c r="F209" s="25" t="str">
        <f>_xlfn.IFNA(VLOOKUP(A209,'[1]ETF List'!$A$3:$I$180,6,FALSE),"n/a")</f>
        <v>n/a</v>
      </c>
      <c r="G209" s="26" t="str">
        <f>_xlfn.IFNA(VLOOKUP(A209,'[1]ETF List'!$A$3:$J$180,8,FALSE)/1000000,"n/a")</f>
        <v>n/a</v>
      </c>
      <c r="H209" s="25" t="str">
        <f>_xlfn.IFNA(VLOOKUP(A209,'[1]ETF List'!$A$3:$N$180,14,FALSE)/1000000,"n/a")</f>
        <v>n/a</v>
      </c>
      <c r="I209" s="26" t="str">
        <f ca="1">_xlfn.IFNA(VLOOKUP(A209,'[1]ETF List'!$A:$R,18,FALSE)/1000000,"n/a")</f>
        <v>n/a</v>
      </c>
      <c r="J209" s="27">
        <f>_xlfn.IFNA(VLOOKUP(A209,[1]IRESS!$A$10:$F$875,5,FALSE),"n/a")</f>
        <v>0</v>
      </c>
      <c r="K209" s="28">
        <f>_xlfn.IFNA(VLOOKUP(A209,[1]IRESS!$A$11:$G$684,7,FALSE),"n/a")</f>
        <v>0</v>
      </c>
      <c r="L209" s="27">
        <f>_xlfn.IFNA(VLOOKUP(A209,[1]IRESS!$A$10:$F$875,4,FALSE),"n/a")</f>
        <v>0</v>
      </c>
      <c r="M209" s="29" t="str">
        <f t="shared" si="3"/>
        <v>n/a</v>
      </c>
      <c r="N209" s="30" t="str">
        <f>_xlfn.IFNA(VLOOKUP(A209,[1]Spreads!$A$1:$G$279,2,FALSE),"n/a")</f>
        <v>n/a</v>
      </c>
      <c r="O209" s="28" t="str">
        <f>IFERROR(VLOOKUP(A209,[1]Spreads!$A$1:$G$279,5,FALSE)/1000,"n/a")</f>
        <v>n/a</v>
      </c>
      <c r="P209" s="31" t="str">
        <f>IFERROR(VLOOKUP(A209,[1]Spreads!$A$1:$G$279,6,FALSE)/1000,"n/a")</f>
        <v>n/a</v>
      </c>
      <c r="Q209" s="9"/>
      <c r="R209" s="32">
        <f>VLOOKUP(($A209&amp;".ASX"),[1]IRESS!$AF$11:$AG$681,2,FALSE)</f>
        <v>8140.5090054170332</v>
      </c>
      <c r="S209" s="33">
        <f>VLOOKUP($A209,[1]IRESS!$A$11:$AE$696,21,FALSE)/100</f>
        <v>82.857830213919186</v>
      </c>
      <c r="T209" s="32">
        <f>VLOOKUP($A209,[1]IRESS!$A$11:$AE$696,22,FALSE)/100</f>
        <v>64.883292450688103</v>
      </c>
      <c r="V209" s="34"/>
      <c r="W209" s="35">
        <f>IFERROR(($R209-VLOOKUP($A209,[1]IRESS!$A$11:$AE$696,25,FALSE))/(VLOOKUP($A209,[1]IRESS!$A$11:$AE$696,25,FALSE)),"n/a")</f>
        <v>2.089624394647829E-2</v>
      </c>
      <c r="X209" s="34">
        <f>IFERROR(($R209-VLOOKUP($A209,[1]IRESS!$A$11:$AE$696,27,FALSE))/(VLOOKUP($A209,[1]IRESS!$A$11:$AE$696,27,FALSE)),"n/a")</f>
        <v>0.24246215053522574</v>
      </c>
      <c r="Y209" s="55">
        <f>IFERROR((($R209/VLOOKUP($A209,[1]IRESS!$A$11:$AE$696,29,FALSE))^(1/3)-1),"n/a")</f>
        <v>0.15005367378215362</v>
      </c>
      <c r="Z209" s="34">
        <f>IFERROR((($R209/VLOOKUP($A209,[1]IRESS!$A$11:$AE$696,31,FALSE))^(1/5)-1),"n/a")</f>
        <v>0.11562181573593877</v>
      </c>
    </row>
    <row r="210" spans="1:26">
      <c r="A210" s="21" t="s">
        <v>229</v>
      </c>
      <c r="B210" s="22" t="s">
        <v>227</v>
      </c>
      <c r="C210" s="46" t="str">
        <f>VLOOKUP((A210&amp;".ASX"),[1]IRESS!$J$11:$R$681,8,FALSE)</f>
        <v>S&amp;P/ASX 200 A-REIT Accumulation</v>
      </c>
      <c r="D210" s="24"/>
      <c r="E210" s="7"/>
      <c r="F210" s="25" t="str">
        <f>_xlfn.IFNA(VLOOKUP(A210,'[1]ETF List'!$A$3:$I$180,6,FALSE),"n/a")</f>
        <v>n/a</v>
      </c>
      <c r="G210" s="26" t="str">
        <f>_xlfn.IFNA(VLOOKUP(A210,'[1]ETF List'!$A$3:$J$180,8,FALSE)/1000000,"n/a")</f>
        <v>n/a</v>
      </c>
      <c r="H210" s="25" t="str">
        <f>_xlfn.IFNA(VLOOKUP(A210,'[1]ETF List'!$A$3:$N$180,14,FALSE)/1000000,"n/a")</f>
        <v>n/a</v>
      </c>
      <c r="I210" s="26" t="str">
        <f ca="1">_xlfn.IFNA(VLOOKUP(A210,'[1]ETF List'!$A:$R,18,FALSE)/1000000,"n/a")</f>
        <v>n/a</v>
      </c>
      <c r="J210" s="27">
        <f>_xlfn.IFNA(VLOOKUP(A210,[1]IRESS!$A$10:$F$875,5,FALSE),"n/a")</f>
        <v>0</v>
      </c>
      <c r="K210" s="28">
        <f>_xlfn.IFNA(VLOOKUP(A210,[1]IRESS!$A$11:$G$684,7,FALSE),"n/a")</f>
        <v>0</v>
      </c>
      <c r="L210" s="27">
        <f>_xlfn.IFNA(VLOOKUP(A210,[1]IRESS!$A$10:$F$875,4,FALSE),"n/a")</f>
        <v>0</v>
      </c>
      <c r="M210" s="29" t="str">
        <f t="shared" si="3"/>
        <v>n/a</v>
      </c>
      <c r="N210" s="30" t="str">
        <f>_xlfn.IFNA(VLOOKUP(A210,[1]Spreads!$A$1:$G$279,2,FALSE),"n/a")</f>
        <v>n/a</v>
      </c>
      <c r="O210" s="28" t="str">
        <f>IFERROR(VLOOKUP(A210,[1]Spreads!$A$1:$G$279,5,FALSE)/1000,"n/a")</f>
        <v>n/a</v>
      </c>
      <c r="P210" s="31" t="str">
        <f>IFERROR(VLOOKUP(A210,[1]Spreads!$A$1:$G$279,6,FALSE)/1000,"n/a")</f>
        <v>n/a</v>
      </c>
      <c r="Q210" s="9"/>
      <c r="R210" s="32">
        <f>VLOOKUP(($A210&amp;".ASX"),[1]IRESS!$AF$11:$AG$681,2,FALSE)</f>
        <v>48604.905129330422</v>
      </c>
      <c r="S210" s="33">
        <f>VLOOKUP($A210,[1]IRESS!$A$11:$AE$696,21,FALSE)/100</f>
        <v>490.78929650724524</v>
      </c>
      <c r="T210" s="32">
        <f>VLOOKUP($A210,[1]IRESS!$A$11:$AE$696,22,FALSE)/100</f>
        <v>414.6468147361839</v>
      </c>
      <c r="V210" s="34"/>
      <c r="W210" s="35">
        <f>IFERROR(($R210-VLOOKUP($A210,[1]IRESS!$A$11:$AE$696,25,FALSE))/(VLOOKUP($A210,[1]IRESS!$A$11:$AE$696,25,FALSE)),"n/a")</f>
        <v>2.3338225544838796E-2</v>
      </c>
      <c r="X210" s="34">
        <f>IFERROR(($R210-VLOOKUP($A210,[1]IRESS!$A$11:$AE$696,27,FALSE))/(VLOOKUP($A210,[1]IRESS!$A$11:$AE$696,27,FALSE)),"n/a")</f>
        <v>0.13038443354059726</v>
      </c>
      <c r="Y210" s="55">
        <f>IFERROR((($R210/VLOOKUP($A210,[1]IRESS!$A$11:$AE$696,29,FALSE))^(1/3)-1),"n/a")</f>
        <v>9.6953604547080019E-2</v>
      </c>
      <c r="Z210" s="34">
        <f>IFERROR((($R210/VLOOKUP($A210,[1]IRESS!$A$11:$AE$696,31,FALSE))^(1/5)-1),"n/a")</f>
        <v>0.12009433339785569</v>
      </c>
    </row>
    <row r="211" spans="1:26">
      <c r="A211" s="21" t="s">
        <v>230</v>
      </c>
      <c r="B211" s="22" t="s">
        <v>227</v>
      </c>
      <c r="C211" s="46" t="str">
        <f>VLOOKUP((A211&amp;".ASX"),[1]IRESS!$J$11:$R$681,8,FALSE)</f>
        <v>S&amp;P/ASX Infrastructure Index Accumulation</v>
      </c>
      <c r="D211" s="24"/>
      <c r="E211" s="7"/>
      <c r="F211" s="25" t="str">
        <f>_xlfn.IFNA(VLOOKUP(A211,'[1]ETF List'!$A$3:$I$180,6,FALSE),"n/a")</f>
        <v>n/a</v>
      </c>
      <c r="G211" s="26" t="str">
        <f>_xlfn.IFNA(VLOOKUP(A211,'[1]ETF List'!$A$3:$J$180,8,FALSE)/1000000,"n/a")</f>
        <v>n/a</v>
      </c>
      <c r="H211" s="25" t="str">
        <f>_xlfn.IFNA(VLOOKUP(A211,'[1]ETF List'!$A$3:$N$180,14,FALSE)/1000000,"n/a")</f>
        <v>n/a</v>
      </c>
      <c r="I211" s="26" t="str">
        <f ca="1">_xlfn.IFNA(VLOOKUP(A211,'[1]ETF List'!$A:$R,18,FALSE)/1000000,"n/a")</f>
        <v>n/a</v>
      </c>
      <c r="J211" s="27">
        <f>_xlfn.IFNA(VLOOKUP(A211,[1]IRESS!$A$10:$F$875,5,FALSE),"n/a")</f>
        <v>0</v>
      </c>
      <c r="K211" s="28">
        <f>_xlfn.IFNA(VLOOKUP(A211,[1]IRESS!$A$11:$G$684,7,FALSE),"n/a")</f>
        <v>0</v>
      </c>
      <c r="L211" s="27">
        <f>_xlfn.IFNA(VLOOKUP(A211,[1]IRESS!$A$10:$F$875,4,FALSE),"n/a")</f>
        <v>0</v>
      </c>
      <c r="M211" s="29" t="str">
        <f t="shared" si="3"/>
        <v>n/a</v>
      </c>
      <c r="N211" s="30" t="str">
        <f>_xlfn.IFNA(VLOOKUP(A211,[1]Spreads!$A$1:$G$279,2,FALSE),"n/a")</f>
        <v>n/a</v>
      </c>
      <c r="O211" s="28" t="str">
        <f>IFERROR(VLOOKUP(A211,[1]Spreads!$A$1:$G$279,5,FALSE)/1000,"n/a")</f>
        <v>n/a</v>
      </c>
      <c r="P211" s="31" t="str">
        <f>IFERROR(VLOOKUP(A211,[1]Spreads!$A$1:$G$279,6,FALSE)/1000,"n/a")</f>
        <v>n/a</v>
      </c>
      <c r="Q211" s="9"/>
      <c r="R211" s="32">
        <f>VLOOKUP(($A211&amp;".ASX"),[1]IRESS!$AF$11:$AG$681,2,FALSE)</f>
        <v>443.84317103253943</v>
      </c>
      <c r="S211" s="33">
        <f>VLOOKUP($A211,[1]IRESS!$A$11:$AE$696,21,FALSE)/100</f>
        <v>4.4791295489044334</v>
      </c>
      <c r="T211" s="32">
        <f>VLOOKUP($A211,[1]IRESS!$A$11:$AE$696,22,FALSE)/100</f>
        <v>3.8786031043183882</v>
      </c>
      <c r="V211" s="34"/>
      <c r="W211" s="35">
        <f>IFERROR(($R211-VLOOKUP($A211,[1]IRESS!$A$11:$AE$696,25,FALSE))/(VLOOKUP($A211,[1]IRESS!$A$11:$AE$696,25,FALSE)),"n/a")</f>
        <v>6.1343358299678984E-2</v>
      </c>
      <c r="X211" s="34">
        <f>IFERROR(($R211-VLOOKUP($A211,[1]IRESS!$A$11:$AE$696,27,FALSE))/(VLOOKUP($A211,[1]IRESS!$A$11:$AE$696,27,FALSE)),"n/a")</f>
        <v>8.7252714164183509E-2</v>
      </c>
      <c r="Y211" s="55">
        <f>IFERROR((($R211/VLOOKUP($A211,[1]IRESS!$A$11:$AE$696,29,FALSE))^(1/3)-1),"n/a")</f>
        <v>0.11668931747853328</v>
      </c>
      <c r="Z211" s="34">
        <f>IFERROR((($R211/VLOOKUP($A211,[1]IRESS!$A$11:$AE$696,31,FALSE))^(1/5)-1),"n/a")</f>
        <v>0.13738343638890416</v>
      </c>
    </row>
    <row r="212" spans="1:26">
      <c r="A212" s="21" t="s">
        <v>231</v>
      </c>
      <c r="B212" s="22" t="s">
        <v>227</v>
      </c>
      <c r="C212" s="46" t="str">
        <f>VLOOKUP((A212&amp;".ASX"),[1]IRESS!$J$11:$R$681,8,FALSE)</f>
        <v>S&amp;P/ASX Aust Fixed Int Idx Total Return</v>
      </c>
      <c r="D212" s="24"/>
      <c r="E212" s="7"/>
      <c r="F212" s="25" t="str">
        <f>_xlfn.IFNA(VLOOKUP(A212,'[1]ETF List'!$A$3:$I$180,6,FALSE),"n/a")</f>
        <v>n/a</v>
      </c>
      <c r="G212" s="26" t="str">
        <f>_xlfn.IFNA(VLOOKUP(A212,'[1]ETF List'!$A$3:$J$180,8,FALSE)/1000000,"n/a")</f>
        <v>n/a</v>
      </c>
      <c r="H212" s="25" t="str">
        <f>_xlfn.IFNA(VLOOKUP(A212,'[1]ETF List'!$A$3:$N$180,14,FALSE)/1000000,"n/a")</f>
        <v>n/a</v>
      </c>
      <c r="I212" s="26" t="str">
        <f ca="1">_xlfn.IFNA(VLOOKUP(A212,'[1]ETF List'!$A:$R,18,FALSE)/1000000,"n/a")</f>
        <v>n/a</v>
      </c>
      <c r="J212" s="27">
        <f>_xlfn.IFNA(VLOOKUP(A212,[1]IRESS!$A$10:$F$875,5,FALSE),"n/a")</f>
        <v>0</v>
      </c>
      <c r="K212" s="28">
        <f>_xlfn.IFNA(VLOOKUP(A212,[1]IRESS!$A$11:$G$684,7,FALSE),"n/a")</f>
        <v>0</v>
      </c>
      <c r="L212" s="27">
        <f>_xlfn.IFNA(VLOOKUP(A212,[1]IRESS!$A$10:$F$875,4,FALSE),"n/a")</f>
        <v>0</v>
      </c>
      <c r="M212" s="29" t="str">
        <f t="shared" si="3"/>
        <v>n/a</v>
      </c>
      <c r="N212" s="30" t="str">
        <f>_xlfn.IFNA(VLOOKUP(A212,[1]Spreads!$A$1:$G$279,2,FALSE),"n/a")</f>
        <v>n/a</v>
      </c>
      <c r="O212" s="28" t="str">
        <f>IFERROR(VLOOKUP(A212,[1]Spreads!$A$1:$G$279,5,FALSE)/1000,"n/a")</f>
        <v>n/a</v>
      </c>
      <c r="P212" s="31" t="str">
        <f>IFERROR(VLOOKUP(A212,[1]Spreads!$A$1:$G$279,6,FALSE)/1000,"n/a")</f>
        <v>n/a</v>
      </c>
      <c r="Q212" s="9"/>
      <c r="R212" s="32">
        <f>VLOOKUP(($A212&amp;".ASX"),[1]IRESS!$AF$11:$AG$681,2,FALSE)</f>
        <v>145.96627000000001</v>
      </c>
      <c r="S212" s="33">
        <f>VLOOKUP($A212,[1]IRESS!$A$11:$AE$696,21,FALSE)/100</f>
        <v>0</v>
      </c>
      <c r="T212" s="32">
        <f>VLOOKUP($A212,[1]IRESS!$A$11:$AE$696,22,FALSE)/100</f>
        <v>0</v>
      </c>
      <c r="V212" s="34"/>
      <c r="W212" s="35">
        <f>IFERROR(($R212-VLOOKUP($A212,[1]IRESS!$A$11:$AE$696,25,FALSE))/(VLOOKUP($A212,[1]IRESS!$A$11:$AE$696,25,FALSE)),"n/a")</f>
        <v>4.114933339221926E-3</v>
      </c>
      <c r="X212" s="34">
        <f>IFERROR(($R212-VLOOKUP($A212,[1]IRESS!$A$11:$AE$696,27,FALSE))/(VLOOKUP($A212,[1]IRESS!$A$11:$AE$696,27,FALSE)),"n/a")</f>
        <v>3.1123896548440579E-2</v>
      </c>
      <c r="Y212" s="55">
        <f>IFERROR((($R212/VLOOKUP($A212,[1]IRESS!$A$11:$AE$696,29,FALSE))^(1/3)-1),"n/a")</f>
        <v>3.4877316646126921E-2</v>
      </c>
      <c r="Z212" s="34">
        <f>IFERROR((($R212/VLOOKUP($A212,[1]IRESS!$A$11:$AE$696,31,FALSE))^(1/5)-1),"n/a")</f>
        <v>4.561934533266454E-2</v>
      </c>
    </row>
    <row r="213" spans="1:26" ht="14.45" customHeight="1">
      <c r="A213" s="21" t="s">
        <v>232</v>
      </c>
      <c r="B213" s="22" t="s">
        <v>227</v>
      </c>
      <c r="C213" s="46" t="str">
        <f>VLOOKUP((A213&amp;".ASX"),[1]IRESS!$J$11:$R$681,8,FALSE)</f>
        <v>S&amp;P/ASX Govt Bond Idx Total Return</v>
      </c>
      <c r="D213" s="24"/>
      <c r="E213" s="7"/>
      <c r="F213" s="25" t="str">
        <f>_xlfn.IFNA(VLOOKUP(A213,'[1]ETF List'!$A$3:$I$180,6,FALSE),"n/a")</f>
        <v>n/a</v>
      </c>
      <c r="G213" s="26" t="str">
        <f>_xlfn.IFNA(VLOOKUP(A213,'[1]ETF List'!$A$3:$J$180,8,FALSE)/1000000,"n/a")</f>
        <v>n/a</v>
      </c>
      <c r="H213" s="25" t="str">
        <f>_xlfn.IFNA(VLOOKUP(A213,'[1]ETF List'!$A$3:$N$180,14,FALSE)/1000000,"n/a")</f>
        <v>n/a</v>
      </c>
      <c r="I213" s="26" t="str">
        <f ca="1">_xlfn.IFNA(VLOOKUP(A213,'[1]ETF List'!$A:$R,18,FALSE)/1000000,"n/a")</f>
        <v>n/a</v>
      </c>
      <c r="J213" s="27">
        <f>_xlfn.IFNA(VLOOKUP(A213,[1]IRESS!$A$10:$F$875,5,FALSE),"n/a")</f>
        <v>0</v>
      </c>
      <c r="K213" s="28">
        <f>_xlfn.IFNA(VLOOKUP(A213,[1]IRESS!$A$11:$G$684,7,FALSE),"n/a")</f>
        <v>0</v>
      </c>
      <c r="L213" s="27">
        <f>_xlfn.IFNA(VLOOKUP(A213,[1]IRESS!$A$10:$F$875,4,FALSE),"n/a")</f>
        <v>0</v>
      </c>
      <c r="M213" s="29" t="str">
        <f t="shared" si="3"/>
        <v>n/a</v>
      </c>
      <c r="N213" s="30" t="str">
        <f>_xlfn.IFNA(VLOOKUP(A213,[1]Spreads!$A$1:$G$279,2,FALSE),"n/a")</f>
        <v>n/a</v>
      </c>
      <c r="O213" s="28" t="str">
        <f>IFERROR(VLOOKUP(A213,[1]Spreads!$A$1:$G$279,5,FALSE)/1000,"n/a")</f>
        <v>n/a</v>
      </c>
      <c r="P213" s="31" t="str">
        <f>IFERROR(VLOOKUP(A213,[1]Spreads!$A$1:$G$279,6,FALSE)/1000,"n/a")</f>
        <v>n/a</v>
      </c>
      <c r="Q213" s="9"/>
      <c r="R213" s="32">
        <f>VLOOKUP(($A213&amp;".ASX"),[1]IRESS!$AF$11:$AG$681,2,FALSE)</f>
        <v>145.29893000000001</v>
      </c>
      <c r="S213" s="33">
        <f>VLOOKUP($A213,[1]IRESS!$A$11:$AE$696,21,FALSE)/100</f>
        <v>0</v>
      </c>
      <c r="T213" s="32">
        <f>VLOOKUP($A213,[1]IRESS!$A$11:$AE$696,22,FALSE)/100</f>
        <v>0</v>
      </c>
      <c r="V213" s="34"/>
      <c r="W213" s="35">
        <f>IFERROR(($R213-VLOOKUP($A213,[1]IRESS!$A$11:$AE$696,25,FALSE))/(VLOOKUP($A213,[1]IRESS!$A$11:$AE$696,25,FALSE)),"n/a")</f>
        <v>4.4473217766890479E-3</v>
      </c>
      <c r="X213" s="34">
        <f>IFERROR(($R213-VLOOKUP($A213,[1]IRESS!$A$11:$AE$696,27,FALSE))/(VLOOKUP($A213,[1]IRESS!$A$11:$AE$696,27,FALSE)),"n/a")</f>
        <v>3.0246793785261752E-2</v>
      </c>
      <c r="Y213" s="55">
        <f>IFERROR((($R213/VLOOKUP($A213,[1]IRESS!$A$11:$AE$696,29,FALSE))^(1/3)-1),"n/a")</f>
        <v>3.415756002952075E-2</v>
      </c>
      <c r="Z213" s="34">
        <f>IFERROR((($R213/VLOOKUP($A213,[1]IRESS!$A$11:$AE$696,31,FALSE))^(1/5)-1),"n/a")</f>
        <v>4.4846946944204102E-2</v>
      </c>
    </row>
    <row r="214" spans="1:26" ht="14.45" customHeight="1">
      <c r="A214" s="56"/>
      <c r="B214" s="56"/>
      <c r="C214" s="57"/>
      <c r="D214" s="58"/>
      <c r="E214" s="7"/>
      <c r="F214" s="59"/>
      <c r="G214" s="59"/>
      <c r="H214" s="59"/>
      <c r="I214" s="59"/>
      <c r="J214" s="60"/>
      <c r="K214" s="60"/>
      <c r="L214" s="60"/>
      <c r="M214" s="60"/>
      <c r="N214" s="61"/>
      <c r="O214" s="61"/>
      <c r="P214" s="61"/>
      <c r="Q214" s="9"/>
      <c r="R214" s="61"/>
      <c r="S214" s="61"/>
      <c r="T214" s="61"/>
      <c r="V214" s="62"/>
      <c r="W214" s="62"/>
      <c r="X214" s="62"/>
      <c r="Y214" s="62"/>
    </row>
    <row r="215" spans="1:26" ht="14.45" customHeight="1">
      <c r="A215" s="63" t="s">
        <v>233</v>
      </c>
      <c r="B215" s="63"/>
      <c r="C215" s="63"/>
      <c r="D215" s="63"/>
      <c r="E215" s="63"/>
      <c r="F215" s="63"/>
      <c r="G215" s="63"/>
      <c r="H215" s="63"/>
      <c r="I215" s="63"/>
      <c r="J215" s="63"/>
      <c r="K215" s="63"/>
      <c r="L215" s="63"/>
      <c r="M215" s="63"/>
      <c r="N215" s="63"/>
      <c r="O215" s="63"/>
      <c r="P215" s="63"/>
    </row>
    <row r="216" spans="1:26" ht="14.45" customHeight="1">
      <c r="A216" s="66" t="s">
        <v>234</v>
      </c>
      <c r="B216" s="66"/>
      <c r="C216" s="67"/>
      <c r="F216" s="69" t="s">
        <v>235</v>
      </c>
      <c r="H216" s="70"/>
      <c r="I216" s="70"/>
      <c r="J216" s="71"/>
      <c r="L216" s="69" t="s">
        <v>236</v>
      </c>
      <c r="M216" s="72"/>
      <c r="N216" s="73"/>
      <c r="O216" s="72"/>
      <c r="P216" s="72"/>
      <c r="R216" s="72"/>
      <c r="S216" s="72"/>
      <c r="T216" s="72"/>
      <c r="V216" s="74"/>
      <c r="W216" s="74"/>
      <c r="X216" s="74"/>
      <c r="Y216" s="74"/>
    </row>
    <row r="217" spans="1:26">
      <c r="A217" s="75" t="s">
        <v>237</v>
      </c>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spans="1:26">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spans="1:26">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spans="1:26">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spans="1:26">
      <c r="A221" s="76" t="str">
        <f>"All values are as at "&amp;TEXT([1]Setup!$K$4,"mmm-yy")&amp;". Month Total return, 1/3&amp;5 year annualised return data provided by Morningstar."</f>
        <v>All values are as at Jun-18. Month Total return, 1/3&amp;5 year annualised return data provided by Morningstar.</v>
      </c>
      <c r="B221" s="77"/>
      <c r="C221" s="78"/>
      <c r="D221" s="79"/>
      <c r="E221" s="79"/>
      <c r="F221" s="80"/>
      <c r="G221" s="80"/>
      <c r="H221" s="80"/>
      <c r="I221" s="80"/>
      <c r="J221" s="72"/>
      <c r="K221" s="72"/>
      <c r="L221" s="72"/>
      <c r="M221" s="72"/>
      <c r="N221" s="73"/>
      <c r="O221" s="72"/>
      <c r="P221" s="72"/>
      <c r="R221" s="72"/>
      <c r="T221" s="81"/>
      <c r="V221" s="74"/>
      <c r="W221" s="74"/>
      <c r="X221" s="74"/>
      <c r="Y221" s="74"/>
    </row>
    <row r="222" spans="1:26">
      <c r="A222" s="82" t="s">
        <v>238</v>
      </c>
      <c r="B222" s="82"/>
      <c r="C222" s="82"/>
      <c r="D222" s="82"/>
      <c r="E222" s="82"/>
      <c r="F222" s="82"/>
      <c r="G222" s="82"/>
      <c r="H222" s="82"/>
      <c r="I222" s="82"/>
      <c r="J222" s="82"/>
      <c r="K222" s="82"/>
      <c r="L222" s="82"/>
      <c r="M222" s="82"/>
      <c r="N222" s="82"/>
      <c r="O222" s="82"/>
      <c r="P222" s="82"/>
      <c r="R222" s="83"/>
      <c r="T222" s="81"/>
      <c r="V222" s="84"/>
      <c r="W222" s="84"/>
      <c r="X222" s="84"/>
      <c r="Y222" s="84"/>
    </row>
    <row r="223" spans="1:26">
      <c r="A223" s="77"/>
      <c r="B223" s="77"/>
      <c r="C223" s="78"/>
      <c r="D223" s="79"/>
      <c r="E223" s="85"/>
      <c r="F223" s="80"/>
      <c r="G223" s="80"/>
      <c r="H223" s="80"/>
      <c r="I223" s="80"/>
      <c r="J223" s="72"/>
      <c r="K223" s="72"/>
      <c r="L223" s="86"/>
      <c r="M223" s="86"/>
      <c r="N223" s="86"/>
      <c r="O223" s="72"/>
      <c r="P223" s="72"/>
      <c r="R223" s="72"/>
      <c r="T223" s="81"/>
      <c r="V223" s="74"/>
      <c r="W223" s="74"/>
      <c r="X223" s="74"/>
      <c r="Y223" s="74"/>
    </row>
    <row r="224" spans="1:26" ht="15.75">
      <c r="A224" s="87" t="s">
        <v>239</v>
      </c>
      <c r="B224" s="66"/>
      <c r="C224" s="88"/>
      <c r="D224" s="89"/>
      <c r="E224" s="89"/>
      <c r="F224" s="70"/>
      <c r="G224" s="90"/>
      <c r="H224" s="90"/>
      <c r="I224" s="90"/>
      <c r="J224" s="90"/>
      <c r="K224" s="86"/>
      <c r="L224" s="86"/>
      <c r="M224" s="86"/>
      <c r="N224" s="86"/>
      <c r="P224" s="60"/>
      <c r="R224" s="60"/>
      <c r="T224" s="81"/>
      <c r="V224" s="62"/>
      <c r="W224" s="62"/>
      <c r="X224" s="62"/>
      <c r="Y224" s="62"/>
    </row>
    <row r="225" spans="2:25">
      <c r="B225" s="91"/>
      <c r="C225" s="91"/>
      <c r="D225" s="91"/>
      <c r="E225" s="91"/>
      <c r="F225" s="92"/>
      <c r="G225" s="92"/>
      <c r="H225" s="92"/>
      <c r="I225" s="92"/>
      <c r="J225" s="92"/>
      <c r="K225" s="92"/>
      <c r="L225" s="92"/>
      <c r="M225" s="92"/>
      <c r="N225" s="92"/>
      <c r="O225" s="92"/>
      <c r="P225" s="92"/>
      <c r="R225" s="92"/>
      <c r="S225" s="92"/>
      <c r="T225" s="92"/>
      <c r="V225" s="93"/>
      <c r="W225" s="93"/>
      <c r="X225" s="93"/>
      <c r="Y225" s="93"/>
    </row>
    <row r="226" spans="2:25">
      <c r="C226" s="91"/>
      <c r="D226" s="94"/>
      <c r="E226" s="94"/>
    </row>
    <row r="227" spans="2:25">
      <c r="C227" s="91"/>
      <c r="D227" s="94"/>
      <c r="E227" s="94"/>
    </row>
    <row r="228" spans="2:25">
      <c r="C228" s="91"/>
      <c r="D228" s="94"/>
      <c r="E228" s="94"/>
    </row>
  </sheetData>
  <autoFilter ref="A10:AE209"/>
  <mergeCells count="1">
    <mergeCell ref="A217:Z220"/>
  </mergeCells>
  <printOptions horizontalCentered="1"/>
  <pageMargins left="0" right="0" top="0" bottom="0" header="0.15748031496062992" footer="3.937007874015748E-2"/>
  <pageSetup paperSize="9" scale="58" fitToHeight="0" pageOrder="overThenDown" orientation="landscape" r:id="rId1"/>
  <headerFooter alignWithMargins="0"/>
  <rowBreaks count="4" manualBreakCount="4">
    <brk id="62" max="25" man="1"/>
    <brk id="108" max="25" man="1"/>
    <brk id="151" max="25" man="1"/>
    <brk id="19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9CCFF"/>
    <pageSetUpPr fitToPage="1"/>
  </sheetPr>
  <dimension ref="A1:AC81"/>
  <sheetViews>
    <sheetView showGridLines="0" view="pageBreakPreview" zoomScale="70" zoomScaleNormal="85" zoomScaleSheetLayoutView="70" workbookViewId="0">
      <pane xSplit="5" ySplit="10" topLeftCell="F53" activePane="bottomRight" state="frozen"/>
      <selection activeCell="T46" sqref="T46"/>
      <selection pane="topRight" activeCell="T46" sqref="T46"/>
      <selection pane="bottomLeft" activeCell="T46" sqref="T46"/>
      <selection pane="bottomRight" activeCell="T46" sqref="T46"/>
    </sheetView>
  </sheetViews>
  <sheetFormatPr defaultColWidth="9" defaultRowHeight="15"/>
  <cols>
    <col min="1" max="1" width="9" style="7" customWidth="1"/>
    <col min="2" max="2" width="5.5" style="7" customWidth="1"/>
    <col min="3" max="3" width="11" style="7" customWidth="1"/>
    <col min="4" max="4" width="30.75" style="68" customWidth="1"/>
    <col min="5" max="5" width="0.5" style="68" customWidth="1"/>
    <col min="6" max="6" width="6" style="64" customWidth="1"/>
    <col min="7" max="8" width="6.625" style="64" customWidth="1"/>
    <col min="9" max="9" width="7.625" style="64" customWidth="1"/>
    <col min="10" max="10" width="11" style="64" customWidth="1"/>
    <col min="11" max="11" width="9.25" style="64" bestFit="1" customWidth="1"/>
    <col min="12" max="14" width="8.5" style="64" customWidth="1"/>
    <col min="15" max="16" width="9.875" style="64" bestFit="1" customWidth="1"/>
    <col min="17" max="17" width="0.5" style="7" customWidth="1"/>
    <col min="18" max="20" width="9.875" style="64" customWidth="1"/>
    <col min="21" max="21" width="0.5" style="7" customWidth="1"/>
    <col min="22" max="22" width="13.5" style="65" customWidth="1"/>
    <col min="23" max="23" width="9.875" style="65" customWidth="1"/>
    <col min="24" max="24" width="9.625" style="65" customWidth="1"/>
    <col min="25" max="25" width="9.875" style="65" customWidth="1"/>
    <col min="26" max="26" width="9.25" style="7" customWidth="1"/>
    <col min="27" max="27" width="8.125" style="7" customWidth="1"/>
    <col min="28" max="28" width="8.5" style="7" customWidth="1"/>
    <col min="29" max="29" width="7.875" style="7" hidden="1" customWidth="1"/>
    <col min="30" max="31" width="9.875" style="7" customWidth="1"/>
    <col min="32" max="16384" width="9" style="7"/>
  </cols>
  <sheetData>
    <row r="1" spans="1:26" s="5" customFormat="1">
      <c r="A1" s="1"/>
      <c r="B1" s="1"/>
      <c r="C1" s="1"/>
      <c r="D1" s="2"/>
      <c r="E1" s="1"/>
      <c r="F1" s="3"/>
      <c r="G1" s="3"/>
      <c r="H1" s="3"/>
      <c r="I1" s="3"/>
      <c r="J1" s="3"/>
      <c r="K1" s="3"/>
      <c r="L1" s="3"/>
      <c r="M1" s="3"/>
      <c r="N1" s="3"/>
      <c r="O1" s="3"/>
      <c r="P1" s="3"/>
      <c r="Q1" s="1"/>
      <c r="R1" s="3"/>
      <c r="S1" s="3"/>
      <c r="T1" s="3"/>
      <c r="U1" s="1"/>
      <c r="V1" s="4"/>
      <c r="W1" s="4"/>
      <c r="X1" s="4"/>
      <c r="Y1" s="4"/>
      <c r="Z1" s="1"/>
    </row>
    <row r="2" spans="1:26" s="5" customFormat="1">
      <c r="A2" s="1"/>
      <c r="B2" s="1"/>
      <c r="C2" s="1"/>
      <c r="D2" s="2"/>
      <c r="E2" s="1"/>
      <c r="F2" s="3"/>
      <c r="G2" s="3"/>
      <c r="H2" s="3"/>
      <c r="I2" s="3"/>
      <c r="J2" s="3"/>
      <c r="K2" s="3"/>
      <c r="L2" s="3"/>
      <c r="M2" s="3"/>
      <c r="N2" s="3"/>
      <c r="O2" s="3"/>
      <c r="P2" s="3"/>
      <c r="Q2" s="1"/>
      <c r="R2" s="3"/>
      <c r="S2" s="3"/>
      <c r="T2" s="3"/>
      <c r="U2" s="1"/>
      <c r="V2" s="4"/>
      <c r="W2" s="4"/>
      <c r="X2" s="4"/>
      <c r="Y2" s="4"/>
      <c r="Z2" s="1"/>
    </row>
    <row r="3" spans="1:26" s="5" customFormat="1" ht="14.45" customHeight="1">
      <c r="A3" s="1"/>
      <c r="B3" s="1"/>
      <c r="C3" s="1"/>
      <c r="D3" s="6"/>
      <c r="E3" s="6"/>
      <c r="F3" s="6"/>
      <c r="G3" s="6"/>
      <c r="H3" s="6"/>
      <c r="I3" s="6"/>
      <c r="J3" s="6"/>
      <c r="K3" s="6"/>
      <c r="L3" s="6"/>
      <c r="M3" s="6"/>
      <c r="N3" s="3"/>
      <c r="O3" s="3"/>
      <c r="P3" s="3"/>
      <c r="Q3" s="1"/>
      <c r="R3" s="3"/>
      <c r="S3" s="3"/>
      <c r="T3" s="3"/>
      <c r="U3" s="1"/>
      <c r="V3" s="4"/>
      <c r="W3" s="4"/>
      <c r="X3" s="4"/>
      <c r="Y3" s="4"/>
      <c r="Z3" s="1"/>
    </row>
    <row r="4" spans="1:26" s="5" customFormat="1" ht="14.45" customHeight="1">
      <c r="A4" s="1"/>
      <c r="B4" s="1"/>
      <c r="C4" s="1"/>
      <c r="D4" s="6"/>
      <c r="E4" s="6"/>
      <c r="F4" s="6"/>
      <c r="G4" s="6"/>
      <c r="H4" s="6"/>
      <c r="I4" s="6"/>
      <c r="J4" s="6"/>
      <c r="K4" s="6"/>
      <c r="L4" s="6"/>
      <c r="M4" s="6"/>
      <c r="N4" s="3"/>
      <c r="O4" s="3"/>
      <c r="P4" s="3"/>
      <c r="Q4" s="1"/>
      <c r="R4" s="3"/>
      <c r="S4" s="3"/>
      <c r="T4" s="3"/>
      <c r="U4" s="1"/>
      <c r="V4" s="4"/>
      <c r="W4" s="4"/>
      <c r="X4" s="4"/>
      <c r="Y4" s="4"/>
      <c r="Z4" s="1"/>
    </row>
    <row r="5" spans="1:26" s="5" customFormat="1" ht="14.45" customHeight="1">
      <c r="A5" s="1"/>
      <c r="B5" s="1"/>
      <c r="C5" s="1"/>
      <c r="D5" s="6"/>
      <c r="E5" s="6"/>
      <c r="F5" s="6"/>
      <c r="G5" s="6"/>
      <c r="H5" s="6"/>
      <c r="I5" s="6"/>
      <c r="J5" s="6"/>
      <c r="K5" s="6"/>
      <c r="L5" s="6"/>
      <c r="M5" s="6"/>
      <c r="N5" s="3"/>
      <c r="O5" s="3"/>
      <c r="P5" s="3"/>
      <c r="Q5" s="1"/>
      <c r="R5" s="3"/>
      <c r="S5" s="3"/>
      <c r="T5" s="3"/>
      <c r="U5" s="1"/>
      <c r="V5" s="4"/>
      <c r="W5" s="4"/>
      <c r="X5" s="4"/>
      <c r="Y5" s="4"/>
      <c r="Z5" s="1"/>
    </row>
    <row r="6" spans="1:26" ht="14.45" customHeight="1">
      <c r="A6" s="1"/>
      <c r="B6" s="1"/>
      <c r="C6" s="1"/>
      <c r="D6" s="6"/>
      <c r="E6" s="6"/>
      <c r="F6" s="6"/>
      <c r="G6" s="6"/>
      <c r="H6" s="6"/>
      <c r="I6" s="6"/>
      <c r="J6" s="6"/>
      <c r="K6" s="6"/>
      <c r="L6" s="6"/>
      <c r="M6" s="6"/>
      <c r="N6" s="3"/>
      <c r="O6" s="3"/>
      <c r="P6" s="3"/>
      <c r="Q6" s="1"/>
      <c r="R6" s="3"/>
      <c r="S6" s="3"/>
      <c r="T6" s="3"/>
      <c r="U6" s="1"/>
      <c r="V6" s="4"/>
      <c r="W6" s="4"/>
      <c r="X6" s="4"/>
      <c r="Y6" s="4"/>
      <c r="Z6" s="1"/>
    </row>
    <row r="7" spans="1:26">
      <c r="A7" s="1"/>
      <c r="B7" s="1"/>
      <c r="C7" s="1"/>
      <c r="D7" s="2"/>
      <c r="E7" s="1"/>
      <c r="F7" s="3"/>
      <c r="G7" s="3"/>
      <c r="H7" s="3"/>
      <c r="I7" s="3"/>
      <c r="J7" s="3"/>
      <c r="K7" s="3"/>
      <c r="L7" s="3"/>
      <c r="M7" s="3"/>
      <c r="N7" s="3"/>
      <c r="O7" s="3"/>
      <c r="P7" s="3"/>
      <c r="Q7" s="1"/>
      <c r="R7" s="3"/>
      <c r="S7" s="3"/>
      <c r="T7" s="3"/>
      <c r="U7" s="1"/>
      <c r="V7" s="4"/>
      <c r="W7" s="4"/>
      <c r="X7" s="4"/>
      <c r="Y7" s="4"/>
      <c r="Z7" s="1"/>
    </row>
    <row r="8" spans="1:26" s="9" customFormat="1" ht="18" customHeight="1">
      <c r="A8" s="8" t="str">
        <f>"Single Asset Exchange Traded Product Summary - "&amp;TEXT([1]Setup!$K$2,"mmmm yyyy")</f>
        <v>Single Asset Exchange Traded Product Summary - June 2018</v>
      </c>
      <c r="Z8" s="10" t="str">
        <f>"Transaction days: "&amp;[1]Setup!$K$8&amp;" / Period ending: "&amp;TEXT([1]Setup!$K$4,"dddd, dd mmmm yyyy")</f>
        <v>Transaction days: 23 / Period ending: Friday, 29 June 2018</v>
      </c>
    </row>
    <row r="9" spans="1:26" s="96" customFormat="1" ht="18.75">
      <c r="A9" s="95" t="s">
        <v>240</v>
      </c>
      <c r="E9" s="7"/>
      <c r="F9" s="95" t="s">
        <v>1</v>
      </c>
      <c r="Q9" s="7"/>
      <c r="R9" s="95" t="s">
        <v>2</v>
      </c>
      <c r="U9" s="7"/>
      <c r="V9" s="95" t="s">
        <v>3</v>
      </c>
    </row>
    <row r="10" spans="1:26" ht="45">
      <c r="A10" s="13" t="s">
        <v>4</v>
      </c>
      <c r="B10" s="13" t="s">
        <v>241</v>
      </c>
      <c r="C10" s="97" t="s">
        <v>6</v>
      </c>
      <c r="D10" s="98"/>
      <c r="E10" s="7"/>
      <c r="F10" s="16" t="s">
        <v>7</v>
      </c>
      <c r="G10" s="17" t="s">
        <v>8</v>
      </c>
      <c r="H10" s="17" t="s">
        <v>9</v>
      </c>
      <c r="I10" s="17" t="s">
        <v>10</v>
      </c>
      <c r="J10" s="17" t="s">
        <v>11</v>
      </c>
      <c r="K10" s="17" t="s">
        <v>12</v>
      </c>
      <c r="L10" s="17" t="s">
        <v>13</v>
      </c>
      <c r="M10" s="17" t="s">
        <v>14</v>
      </c>
      <c r="N10" s="17" t="s">
        <v>15</v>
      </c>
      <c r="O10" s="17" t="s">
        <v>16</v>
      </c>
      <c r="P10" s="17" t="s">
        <v>17</v>
      </c>
      <c r="R10" s="17" t="s">
        <v>18</v>
      </c>
      <c r="S10" s="17" t="s">
        <v>19</v>
      </c>
      <c r="T10" s="17" t="s">
        <v>20</v>
      </c>
      <c r="V10" s="18" t="s">
        <v>21</v>
      </c>
      <c r="W10" s="18" t="s">
        <v>22</v>
      </c>
      <c r="X10" s="18" t="s">
        <v>23</v>
      </c>
      <c r="Y10" s="18" t="s">
        <v>24</v>
      </c>
      <c r="Z10" s="18" t="s">
        <v>25</v>
      </c>
    </row>
    <row r="11" spans="1:26" s="36" customFormat="1">
      <c r="A11" s="37" t="s">
        <v>168</v>
      </c>
      <c r="B11" s="38"/>
      <c r="C11" s="38"/>
      <c r="D11" s="38"/>
      <c r="E11" s="7"/>
      <c r="F11" s="99"/>
      <c r="G11" s="100"/>
      <c r="H11" s="100"/>
      <c r="I11" s="100"/>
      <c r="J11" s="100"/>
      <c r="K11" s="100"/>
      <c r="L11" s="100"/>
      <c r="M11" s="100"/>
      <c r="N11" s="100"/>
      <c r="O11" s="100"/>
      <c r="P11" s="100"/>
      <c r="Q11" s="7"/>
      <c r="R11" s="99"/>
      <c r="S11" s="44"/>
      <c r="T11" s="44"/>
      <c r="U11" s="7"/>
      <c r="V11" s="43"/>
      <c r="W11" s="44"/>
      <c r="X11" s="44"/>
      <c r="Y11" s="44"/>
      <c r="Z11" s="38"/>
    </row>
    <row r="12" spans="1:26">
      <c r="A12" s="21" t="s">
        <v>242</v>
      </c>
      <c r="B12" s="22" t="s">
        <v>43</v>
      </c>
      <c r="C12" s="101" t="str">
        <f>VLOOKUP(A12,'[1]MFSA List'!$A$2:$B$199,2,FALSE)</f>
        <v>XTB AGL 5.00% Nov-21</v>
      </c>
      <c r="D12" s="102"/>
      <c r="E12" s="7"/>
      <c r="F12" s="25" t="str">
        <f>VLOOKUP(A12,'[1]MFSA List'!$A$2:$I$152,6,FALSE)</f>
        <v>n/a</v>
      </c>
      <c r="G12" s="26">
        <f>VLOOKUP(A12,'[1]MFSA List'!$A$2:$J$184,8,FALSE)/1000000</f>
        <v>12.510448</v>
      </c>
      <c r="H12" s="25">
        <f>VLOOKUP(A12,'[1]MFSA List'!$A$2:$N$147,14,FALSE)/1000000</f>
        <v>0.85688200000000003</v>
      </c>
      <c r="I12" s="26">
        <f>VLOOKUP(A12,'[1]MFSA List'!$A$2:$R$147,18,FALSE)/1000000</f>
        <v>0.80332499999999996</v>
      </c>
      <c r="J12" s="27">
        <f>VLOOKUP(A12,[1]IRESS!$A$10:$F$875,5,FALSE)</f>
        <v>962024.37</v>
      </c>
      <c r="K12" s="28">
        <f>VLOOKUP(A12,[1]IRESS!$A$11:$G$684,7,FALSE)</f>
        <v>9021</v>
      </c>
      <c r="L12" s="27">
        <f>VLOOKUP(A12,[1]IRESS!$A$10:$F$875,4,FALSE)</f>
        <v>19</v>
      </c>
      <c r="M12" s="29">
        <f t="shared" ref="M12:M39" si="0">IFERROR(+J12/(G12*1000000),"n/a")</f>
        <v>7.6897675446954417E-2</v>
      </c>
      <c r="N12" s="30">
        <f>_xlfn.IFNA(VLOOKUP(A12,[1]Spreads!$A:$G,2,FALSE),"n/a")</f>
        <v>2.1676379552199097E-3</v>
      </c>
      <c r="O12" s="28">
        <f>IFERROR(VLOOKUP($A12,[1]Spreads!$A:$G,5,FALSE)/1000,"-")</f>
        <v>195.45368960000002</v>
      </c>
      <c r="P12" s="27">
        <f>IFERROR(VLOOKUP($A12,[1]Spreads!$A:$G,6,FALSE)/1000,"-")</f>
        <v>121.76814583333299</v>
      </c>
      <c r="R12" s="32">
        <f>VLOOKUP($A12,[1]IRESS!$A$11:$AE$696,6,FALSE)/100</f>
        <v>107</v>
      </c>
      <c r="S12" s="33">
        <f>VLOOKUP($A12,[1]IRESS!$A$11:$AE$696,21,FALSE)/100</f>
        <v>110.91</v>
      </c>
      <c r="T12" s="32">
        <f>VLOOKUP($A12,[1]IRESS!$A$11:$AE$696,22,FALSE)/100</f>
        <v>105.86</v>
      </c>
      <c r="V12" s="34">
        <f>IFERROR((VLOOKUP($A12,[1]IRESS!$A$11:$AE$696,20,FALSE)/100)/R12,"n/a")</f>
        <v>4.6728971962616821E-2</v>
      </c>
      <c r="W12" s="35">
        <f>IFERROR(VLOOKUP($A12,[1]Morningstar!$A$2:$F$477,3,FALSE),"n/a")</f>
        <v>5.0000000000000001E-3</v>
      </c>
      <c r="X12" s="34">
        <f>IFERROR(VLOOKUP($A12,[1]Morningstar!$A$2:$F$477,4,FALSE),"n/a")</f>
        <v>2.1999999999999999E-2</v>
      </c>
      <c r="Y12" s="35" t="str">
        <f>IFERROR(VLOOKUP($A12,[1]Morningstar!$A$2:$F$477,5,FALSE),"n/a")</f>
        <v>n/a</v>
      </c>
      <c r="Z12" s="34" t="str">
        <f>IFERROR(VLOOKUP($A12,[1]Morningstar!$A$2:$F$477,6,FALSE),"n/a")</f>
        <v>n/a</v>
      </c>
    </row>
    <row r="13" spans="1:26">
      <c r="A13" s="21" t="s">
        <v>243</v>
      </c>
      <c r="B13" s="22" t="s">
        <v>43</v>
      </c>
      <c r="C13" s="101" t="str">
        <f>VLOOKUP(A13,'[1]MFSA List'!$A$2:$B$199,2,FALSE)</f>
        <v>XTB ANZ 3.25% Jun-20</v>
      </c>
      <c r="D13" s="102"/>
      <c r="E13" s="7"/>
      <c r="F13" s="25" t="str">
        <f>VLOOKUP(A13,'[1]MFSA List'!$A$2:$I$152,6,FALSE)</f>
        <v>n/a</v>
      </c>
      <c r="G13" s="26">
        <f>VLOOKUP(A13,'[1]MFSA List'!$A$2:$J$184,8,FALSE)/1000000</f>
        <v>1.0213000000000001</v>
      </c>
      <c r="H13" s="25">
        <f>VLOOKUP(A13,'[1]MFSA List'!$A$2:$N$147,14,FALSE)/1000000</f>
        <v>8.0000000000000004E-4</v>
      </c>
      <c r="I13" s="26">
        <f>VLOOKUP(A13,'[1]MFSA List'!$A$2:$R$147,18,FALSE)/1000000</f>
        <v>0</v>
      </c>
      <c r="J13" s="27">
        <f>VLOOKUP(A13,[1]IRESS!$A$10:$F$875,5,FALSE)</f>
        <v>32795.78</v>
      </c>
      <c r="K13" s="28">
        <f>VLOOKUP(A13,[1]IRESS!$A$11:$G$684,7,FALSE)</f>
        <v>322</v>
      </c>
      <c r="L13" s="27">
        <f>VLOOKUP(A13,[1]IRESS!$A$10:$F$875,4,FALSE)</f>
        <v>5</v>
      </c>
      <c r="M13" s="29">
        <f t="shared" si="0"/>
        <v>3.2111798687946731E-2</v>
      </c>
      <c r="N13" s="30">
        <f>_xlfn.IFNA(VLOOKUP(A13,[1]Spreads!$A:$G,2,FALSE),"n/a")</f>
        <v>2.4186807008091901E-3</v>
      </c>
      <c r="O13" s="28">
        <f>IFERROR(VLOOKUP($A13,[1]Spreads!$A:$G,5,FALSE)/1000,"-")</f>
        <v>51.764894499999897</v>
      </c>
      <c r="P13" s="27">
        <f>IFERROR(VLOOKUP($A13,[1]Spreads!$A:$G,6,FALSE)/1000,"-")</f>
        <v>51.07</v>
      </c>
      <c r="R13" s="32">
        <f>VLOOKUP($A13,[1]IRESS!$A$11:$AE$696,6,FALSE)/100</f>
        <v>101.99</v>
      </c>
      <c r="S13" s="33">
        <f>VLOOKUP($A13,[1]IRESS!$A$11:$AE$696,21,FALSE)/100</f>
        <v>104.67</v>
      </c>
      <c r="T13" s="32">
        <f>VLOOKUP($A13,[1]IRESS!$A$11:$AE$696,22,FALSE)/100</f>
        <v>101.84</v>
      </c>
      <c r="V13" s="34">
        <f>IFERROR((VLOOKUP($A13,[1]IRESS!$A$11:$AE$696,20,FALSE)/100)/R13,"n/a")</f>
        <v>3.186586920286303E-2</v>
      </c>
      <c r="W13" s="35">
        <f>IFERROR(VLOOKUP($A13,[1]Morningstar!$A$2:$F$477,3,FALSE),"n/a")</f>
        <v>-1.38E-2</v>
      </c>
      <c r="X13" s="34">
        <f>IFERROR(VLOOKUP($A13,[1]Morningstar!$A$2:$F$477,4,FALSE),"n/a")</f>
        <v>1.54E-2</v>
      </c>
      <c r="Y13" s="35" t="str">
        <f>IFERROR(VLOOKUP($A13,[1]Morningstar!$A$2:$F$477,5,FALSE),"n/a")</f>
        <v>n/a</v>
      </c>
      <c r="Z13" s="34" t="str">
        <f>IFERROR(VLOOKUP($A13,[1]Morningstar!$A$2:$F$477,6,FALSE),"n/a")</f>
        <v>n/a</v>
      </c>
    </row>
    <row r="14" spans="1:26">
      <c r="A14" s="21" t="s">
        <v>244</v>
      </c>
      <c r="B14" s="22" t="s">
        <v>43</v>
      </c>
      <c r="C14" s="101" t="str">
        <f>VLOOKUP(A14,'[1]MFSA List'!$A$2:$B$199,2,FALSE)</f>
        <v>XTB AP1 3.75% Oct-23</v>
      </c>
      <c r="D14" s="102"/>
      <c r="E14" s="7"/>
      <c r="F14" s="25" t="str">
        <f>VLOOKUP(A14,'[1]MFSA List'!$A$2:$I$152,6,FALSE)</f>
        <v>n/a</v>
      </c>
      <c r="G14" s="26">
        <f>VLOOKUP(A14,'[1]MFSA List'!$A$2:$J$184,8,FALSE)/1000000</f>
        <v>1.5564</v>
      </c>
      <c r="H14" s="25">
        <f>VLOOKUP(A14,'[1]MFSA List'!$A$2:$N$147,14,FALSE)/1000000</f>
        <v>5.4000000000000003E-3</v>
      </c>
      <c r="I14" s="26">
        <f>VLOOKUP(A14,'[1]MFSA List'!$A$2:$R$147,18,FALSE)/1000000</f>
        <v>0</v>
      </c>
      <c r="J14" s="27">
        <f>VLOOKUP(A14,[1]IRESS!$A$10:$F$875,5,FALSE)</f>
        <v>353766.50000000006</v>
      </c>
      <c r="K14" s="28">
        <f>VLOOKUP(A14,[1]IRESS!$A$11:$G$684,7,FALSE)</f>
        <v>3443</v>
      </c>
      <c r="L14" s="27">
        <f>VLOOKUP(A14,[1]IRESS!$A$10:$F$875,4,FALSE)</f>
        <v>7</v>
      </c>
      <c r="M14" s="29">
        <f t="shared" si="0"/>
        <v>0.22729793112310465</v>
      </c>
      <c r="N14" s="30">
        <f>_xlfn.IFNA(VLOOKUP(A14,[1]Spreads!$A:$G,2,FALSE),"n/a")</f>
        <v>4.47542687180634E-3</v>
      </c>
      <c r="O14" s="28">
        <f>IFERROR(VLOOKUP($A14,[1]Spreads!$A:$G,5,FALSE)/1000,"-")</f>
        <v>71.850946499999907</v>
      </c>
      <c r="P14" s="27">
        <f>IFERROR(VLOOKUP($A14,[1]Spreads!$A:$G,6,FALSE)/1000,"-")</f>
        <v>14.340287249999999</v>
      </c>
      <c r="R14" s="32">
        <f>VLOOKUP($A14,[1]IRESS!$A$11:$AE$696,6,FALSE)/100</f>
        <v>103.22</v>
      </c>
      <c r="S14" s="33">
        <f>VLOOKUP($A14,[1]IRESS!$A$11:$AE$696,21,FALSE)/100</f>
        <v>103.42</v>
      </c>
      <c r="T14" s="32">
        <f>VLOOKUP($A14,[1]IRESS!$A$11:$AE$696,22,FALSE)/100</f>
        <v>102.5</v>
      </c>
      <c r="V14" s="34">
        <f>IFERROR((VLOOKUP($A14,[1]IRESS!$A$11:$AE$696,20,FALSE)/100)/R14,"n/a")</f>
        <v>1.8165084285991086E-2</v>
      </c>
      <c r="W14" s="35">
        <f>IFERROR(VLOOKUP($A14,[1]Morningstar!$A$2:$F$477,3,FALSE),"n/a")</f>
        <v>-1.6999999999999999E-3</v>
      </c>
      <c r="X14" s="34" t="str">
        <f>IFERROR(VLOOKUP($A14,[1]Morningstar!$A$2:$F$477,4,FALSE),"n/a")</f>
        <v>n/a</v>
      </c>
      <c r="Y14" s="35" t="str">
        <f>IFERROR(VLOOKUP($A14,[1]Morningstar!$A$2:$F$477,5,FALSE),"n/a")</f>
        <v>n/a</v>
      </c>
      <c r="Z14" s="34" t="str">
        <f>IFERROR(VLOOKUP($A14,[1]Morningstar!$A$2:$F$477,6,FALSE),"n/a")</f>
        <v>n/a</v>
      </c>
    </row>
    <row r="15" spans="1:26">
      <c r="A15" s="21" t="s">
        <v>245</v>
      </c>
      <c r="B15" s="22" t="s">
        <v>43</v>
      </c>
      <c r="C15" s="101" t="str">
        <f>VLOOKUP(A15,'[1]MFSA List'!$A$2:$B$199,2,FALSE)</f>
        <v>XTB APA 7.75% Jul-20</v>
      </c>
      <c r="D15" s="102"/>
      <c r="E15" s="7"/>
      <c r="F15" s="25" t="str">
        <f>VLOOKUP(A15,'[1]MFSA List'!$A$2:$I$152,6,FALSE)</f>
        <v>n/a</v>
      </c>
      <c r="G15" s="26">
        <f>VLOOKUP(A15,'[1]MFSA List'!$A$2:$J$184,8,FALSE)/1000000</f>
        <v>4.9844059999999999</v>
      </c>
      <c r="H15" s="25">
        <f>VLOOKUP(A15,'[1]MFSA List'!$A$2:$N$147,14,FALSE)/1000000</f>
        <v>1.4926E-2</v>
      </c>
      <c r="I15" s="26">
        <f>VLOOKUP(A15,'[1]MFSA List'!$A$2:$R$147,18,FALSE)/1000000</f>
        <v>0</v>
      </c>
      <c r="J15" s="27">
        <f>VLOOKUP(A15,[1]IRESS!$A$10:$F$875,5,FALSE)</f>
        <v>205152.38</v>
      </c>
      <c r="K15" s="28">
        <f>VLOOKUP(A15,[1]IRESS!$A$11:$G$684,7,FALSE)</f>
        <v>1810</v>
      </c>
      <c r="L15" s="27">
        <f>VLOOKUP(A15,[1]IRESS!$A$10:$F$875,4,FALSE)</f>
        <v>6</v>
      </c>
      <c r="M15" s="29">
        <f t="shared" si="0"/>
        <v>4.1158842197044139E-2</v>
      </c>
      <c r="N15" s="30">
        <f>_xlfn.IFNA(VLOOKUP(A15,[1]Spreads!$A:$G,2,FALSE),"n/a")</f>
        <v>2.1858163212226402E-3</v>
      </c>
      <c r="O15" s="28">
        <f>IFERROR(VLOOKUP($A15,[1]Spreads!$A:$G,5,FALSE)/1000,"-")</f>
        <v>71.125970249999995</v>
      </c>
      <c r="P15" s="27">
        <f>IFERROR(VLOOKUP($A15,[1]Spreads!$A:$G,6,FALSE)/1000,"-")</f>
        <v>68.087999999999994</v>
      </c>
      <c r="R15" s="32">
        <f>VLOOKUP($A15,[1]IRESS!$A$11:$AE$696,6,FALSE)/100</f>
        <v>113.39</v>
      </c>
      <c r="S15" s="33">
        <f>VLOOKUP($A15,[1]IRESS!$A$11:$AE$696,21,FALSE)/100</f>
        <v>116.89</v>
      </c>
      <c r="T15" s="32">
        <f>VLOOKUP($A15,[1]IRESS!$A$11:$AE$696,22,FALSE)/100</f>
        <v>112.51</v>
      </c>
      <c r="V15" s="34">
        <f>IFERROR((VLOOKUP($A15,[1]IRESS!$A$11:$AE$696,20,FALSE)/100)/R15,"n/a")</f>
        <v>6.8348178851750596E-2</v>
      </c>
      <c r="W15" s="35">
        <f>IFERROR(VLOOKUP($A15,[1]Morningstar!$A$2:$F$477,3,FALSE),"n/a")</f>
        <v>2.7000000000000001E-3</v>
      </c>
      <c r="X15" s="34">
        <f>IFERROR(VLOOKUP($A15,[1]Morningstar!$A$2:$F$477,4,FALSE),"n/a")</f>
        <v>2.0500000000000001E-2</v>
      </c>
      <c r="Y15" s="35" t="str">
        <f>IFERROR(VLOOKUP($A15,[1]Morningstar!$A$2:$F$477,5,FALSE),"n/a")</f>
        <v>n/a</v>
      </c>
      <c r="Z15" s="34" t="str">
        <f>IFERROR(VLOOKUP($A15,[1]Morningstar!$A$2:$F$477,6,FALSE),"n/a")</f>
        <v>n/a</v>
      </c>
    </row>
    <row r="16" spans="1:26">
      <c r="A16" s="21" t="s">
        <v>246</v>
      </c>
      <c r="B16" s="22" t="s">
        <v>43</v>
      </c>
      <c r="C16" s="101" t="str">
        <f>VLOOKUP(A16,'[1]MFSA List'!$A$2:$B$152,2,FALSE)</f>
        <v>XTB AST 5.75% Jun-22</v>
      </c>
      <c r="D16" s="102"/>
      <c r="E16" s="7"/>
      <c r="F16" s="25" t="str">
        <f>VLOOKUP(A16,'[1]MFSA List'!$A$2:$I$152,6,FALSE)</f>
        <v>n/a</v>
      </c>
      <c r="G16" s="26">
        <f>VLOOKUP(A16,'[1]MFSA List'!$A$2:$J$184,8,FALSE)/1000000</f>
        <v>5.2903140000000004</v>
      </c>
      <c r="H16" s="25">
        <f>VLOOKUP(A16,'[1]MFSA List'!$A$2:$N$147,14,FALSE)/1000000</f>
        <v>0.46434599999999998</v>
      </c>
      <c r="I16" s="26">
        <f>VLOOKUP(A16,'[1]MFSA List'!$A$2:$R$147,18,FALSE)/1000000</f>
        <v>0.55805000000000005</v>
      </c>
      <c r="J16" s="27">
        <f>VLOOKUP(A16,[1]IRESS!$A$10:$F$875,5,FALSE)</f>
        <v>1002556.14</v>
      </c>
      <c r="K16" s="28">
        <f>VLOOKUP(A16,[1]IRESS!$A$11:$G$684,7,FALSE)</f>
        <v>8933</v>
      </c>
      <c r="L16" s="27">
        <f>VLOOKUP(A16,[1]IRESS!$A$10:$F$875,4,FALSE)</f>
        <v>20</v>
      </c>
      <c r="M16" s="29">
        <f t="shared" si="0"/>
        <v>0.18950787042130202</v>
      </c>
      <c r="N16" s="30">
        <f>_xlfn.IFNA(VLOOKUP(A16,[1]Spreads!$A:$G,2,FALSE),"n/a")</f>
        <v>2.8502837313721502E-3</v>
      </c>
      <c r="O16" s="28">
        <f>IFERROR(VLOOKUP($A16,[1]Spreads!$A:$G,5,FALSE)/1000,"-")</f>
        <v>211.80816508333299</v>
      </c>
      <c r="P16" s="27">
        <f>IFERROR(VLOOKUP($A16,[1]Spreads!$A:$G,6,FALSE)/1000,"-")</f>
        <v>180.86973041666599</v>
      </c>
      <c r="R16" s="32">
        <f>VLOOKUP($A16,[1]IRESS!$A$11:$AE$696,6,FALSE)/100</f>
        <v>111.61</v>
      </c>
      <c r="S16" s="33">
        <f>VLOOKUP($A16,[1]IRESS!$A$11:$AE$696,21,FALSE)/100</f>
        <v>116.3</v>
      </c>
      <c r="T16" s="32">
        <f>VLOOKUP($A16,[1]IRESS!$A$11:$AE$696,22,FALSE)/100</f>
        <v>110.75</v>
      </c>
      <c r="V16" s="34">
        <f>IFERROR((VLOOKUP($A16,[1]IRESS!$A$11:$AE$696,20,FALSE)/100)/R16,"n/a")</f>
        <v>5.1518681121763284E-2</v>
      </c>
      <c r="W16" s="35">
        <f>IFERROR(VLOOKUP($A16,[1]Morningstar!$A$2:$F$477,3,FALSE),"n/a")</f>
        <v>5.4000000000000003E-3</v>
      </c>
      <c r="X16" s="34">
        <f>IFERROR(VLOOKUP($A16,[1]Morningstar!$A$2:$F$477,4,FALSE),"n/a")</f>
        <v>9.2999999999999992E-3</v>
      </c>
      <c r="Y16" s="35" t="str">
        <f>IFERROR(VLOOKUP($A16,[1]Morningstar!$A$2:$F$477,5,FALSE),"n/a")</f>
        <v>n/a</v>
      </c>
      <c r="Z16" s="34" t="str">
        <f>IFERROR(VLOOKUP($A16,[1]Morningstar!$A$2:$F$477,6,FALSE),"n/a")</f>
        <v>n/a</v>
      </c>
    </row>
    <row r="17" spans="1:26">
      <c r="A17" s="21" t="s">
        <v>247</v>
      </c>
      <c r="B17" s="22" t="s">
        <v>43</v>
      </c>
      <c r="C17" s="101" t="str">
        <f>VLOOKUP(A17,'[1]MFSA List'!$A$2:$B$152,2,FALSE)</f>
        <v>XTB AWC 6.75% Nov-19</v>
      </c>
      <c r="D17" s="102"/>
      <c r="E17" s="7"/>
      <c r="F17" s="25" t="str">
        <f>VLOOKUP(A17,'[1]MFSA List'!$A$2:$I$152,6,FALSE)</f>
        <v>n/a</v>
      </c>
      <c r="G17" s="26">
        <f>VLOOKUP(A17,'[1]MFSA List'!$A$2:$J$184,8,FALSE)/1000000</f>
        <v>17.874161999999998</v>
      </c>
      <c r="H17" s="25">
        <f>VLOOKUP(A17,'[1]MFSA List'!$A$2:$N$147,14,FALSE)/1000000</f>
        <v>9.1849E-2</v>
      </c>
      <c r="I17" s="26">
        <f>VLOOKUP(A17,'[1]MFSA List'!$A$2:$R$147,18,FALSE)/1000000</f>
        <v>0</v>
      </c>
      <c r="J17" s="27">
        <f>VLOOKUP(A17,[1]IRESS!$A$10:$F$875,5,FALSE)</f>
        <v>675860.23</v>
      </c>
      <c r="K17" s="28">
        <f>VLOOKUP(A17,[1]IRESS!$A$11:$G$684,7,FALSE)</f>
        <v>6561</v>
      </c>
      <c r="L17" s="27">
        <f>VLOOKUP(A17,[1]IRESS!$A$10:$F$875,4,FALSE)</f>
        <v>26</v>
      </c>
      <c r="M17" s="29">
        <f t="shared" si="0"/>
        <v>3.7812135192687633E-2</v>
      </c>
      <c r="N17" s="30">
        <f>_xlfn.IFNA(VLOOKUP(A17,[1]Spreads!$A:$G,2,FALSE),"n/a")</f>
        <v>2.3060973482355602E-3</v>
      </c>
      <c r="O17" s="28">
        <f>IFERROR(VLOOKUP($A17,[1]Spreads!$A:$G,5,FALSE)/1000,"-")</f>
        <v>164.604247916666</v>
      </c>
      <c r="P17" s="27">
        <f>IFERROR(VLOOKUP($A17,[1]Spreads!$A:$G,6,FALSE)/1000,"-")</f>
        <v>152.50736779166601</v>
      </c>
      <c r="R17" s="32">
        <f>VLOOKUP($A17,[1]IRESS!$A$11:$AE$696,6,FALSE)/100</f>
        <v>103.15</v>
      </c>
      <c r="S17" s="33">
        <f>VLOOKUP($A17,[1]IRESS!$A$11:$AE$696,21,FALSE)/100</f>
        <v>110.15</v>
      </c>
      <c r="T17" s="32">
        <f>VLOOKUP($A17,[1]IRESS!$A$11:$AE$696,22,FALSE)/100</f>
        <v>102.34</v>
      </c>
      <c r="V17" s="34">
        <f>IFERROR((VLOOKUP($A17,[1]IRESS!$A$11:$AE$696,20,FALSE)/100)/R17,"n/a")</f>
        <v>5.9379544352884145E-2</v>
      </c>
      <c r="W17" s="35">
        <f>IFERROR(VLOOKUP($A17,[1]Morningstar!$A$2:$F$477,3,FALSE),"n/a")</f>
        <v>5.3E-3</v>
      </c>
      <c r="X17" s="34">
        <f>IFERROR(VLOOKUP($A17,[1]Morningstar!$A$2:$F$477,4,FALSE),"n/a")</f>
        <v>2.86E-2</v>
      </c>
      <c r="Y17" s="35" t="str">
        <f>IFERROR(VLOOKUP($A17,[1]Morningstar!$A$2:$F$477,5,FALSE),"n/a")</f>
        <v>n/a</v>
      </c>
      <c r="Z17" s="34" t="str">
        <f>IFERROR(VLOOKUP($A17,[1]Morningstar!$A$2:$F$477,6,FALSE),"n/a")</f>
        <v>n/a</v>
      </c>
    </row>
    <row r="18" spans="1:26">
      <c r="A18" s="21" t="s">
        <v>248</v>
      </c>
      <c r="B18" s="22" t="s">
        <v>43</v>
      </c>
      <c r="C18" s="101" t="str">
        <f>VLOOKUP(A18,'[1]MFSA List'!$A$2:$B$152,2,FALSE)</f>
        <v>XTB AZJ 5.75% Oct-20</v>
      </c>
      <c r="D18" s="102"/>
      <c r="E18" s="7"/>
      <c r="F18" s="25" t="str">
        <f>VLOOKUP(A18,'[1]MFSA List'!$A$2:$I$152,6,FALSE)</f>
        <v>n/a</v>
      </c>
      <c r="G18" s="26">
        <f>VLOOKUP(A18,'[1]MFSA List'!$A$2:$J$184,8,FALSE)/1000000</f>
        <v>24.163961</v>
      </c>
      <c r="H18" s="25">
        <f>VLOOKUP(A18,'[1]MFSA List'!$A$2:$N$147,14,FALSE)/1000000</f>
        <v>-7.8085000000000002E-2</v>
      </c>
      <c r="I18" s="26">
        <f>VLOOKUP(A18,'[1]MFSA List'!$A$2:$R$147,18,FALSE)/1000000</f>
        <v>0</v>
      </c>
      <c r="J18" s="27">
        <f>VLOOKUP(A18,[1]IRESS!$A$10:$F$875,5,FALSE)</f>
        <v>503927.3000000001</v>
      </c>
      <c r="K18" s="28">
        <f>VLOOKUP(A18,[1]IRESS!$A$11:$G$684,7,FALSE)</f>
        <v>4658</v>
      </c>
      <c r="L18" s="27">
        <f>VLOOKUP(A18,[1]IRESS!$A$10:$F$875,4,FALSE)</f>
        <v>26</v>
      </c>
      <c r="M18" s="29">
        <f t="shared" si="0"/>
        <v>2.0854498978871885E-2</v>
      </c>
      <c r="N18" s="30">
        <f>_xlfn.IFNA(VLOOKUP(A18,[1]Spreads!$A:$G,2,FALSE),"n/a")</f>
        <v>4.73244855743612E-3</v>
      </c>
      <c r="O18" s="28">
        <f>IFERROR(VLOOKUP($A18,[1]Spreads!$A:$G,5,FALSE)/1000,"-")</f>
        <v>216.076756747128</v>
      </c>
      <c r="P18" s="27">
        <f>IFERROR(VLOOKUP($A18,[1]Spreads!$A:$G,6,FALSE)/1000,"-")</f>
        <v>219.951731541198</v>
      </c>
      <c r="R18" s="32">
        <f>VLOOKUP($A18,[1]IRESS!$A$11:$AE$696,6,FALSE)/100</f>
        <v>108.31</v>
      </c>
      <c r="S18" s="33">
        <f>VLOOKUP($A18,[1]IRESS!$A$11:$AE$696,21,FALSE)/100</f>
        <v>112.2</v>
      </c>
      <c r="T18" s="32">
        <f>VLOOKUP($A18,[1]IRESS!$A$11:$AE$696,22,FALSE)/100</f>
        <v>107.6</v>
      </c>
      <c r="V18" s="34">
        <f>IFERROR((VLOOKUP($A18,[1]IRESS!$A$11:$AE$696,20,FALSE)/100)/R18,"n/a")</f>
        <v>5.308835749238297E-2</v>
      </c>
      <c r="W18" s="35">
        <f>IFERROR(VLOOKUP($A18,[1]Morningstar!$A$2:$F$477,3,FALSE),"n/a")</f>
        <v>1.9E-3</v>
      </c>
      <c r="X18" s="34">
        <f>IFERROR(VLOOKUP($A18,[1]Morningstar!$A$2:$F$477,4,FALSE),"n/a")</f>
        <v>2.86E-2</v>
      </c>
      <c r="Y18" s="35">
        <f>IFERROR(VLOOKUP($A18,[1]Morningstar!$A$2:$F$477,5,FALSE),"n/a")</f>
        <v>4.3900000000000002E-2</v>
      </c>
      <c r="Z18" s="34" t="str">
        <f>IFERROR(VLOOKUP($A18,[1]Morningstar!$A$2:$F$477,6,FALSE),"n/a")</f>
        <v>n/a</v>
      </c>
    </row>
    <row r="19" spans="1:26">
      <c r="A19" s="21" t="s">
        <v>249</v>
      </c>
      <c r="B19" s="22" t="s">
        <v>43</v>
      </c>
      <c r="C19" s="101" t="str">
        <f>VLOOKUP(A19,'[1]MFSA List'!$A$2:$B$152,2,FALSE)</f>
        <v>XTB BH1 3.00% Mar-20</v>
      </c>
      <c r="D19" s="102"/>
      <c r="E19" s="7"/>
      <c r="F19" s="25" t="str">
        <f>VLOOKUP(A19,'[1]MFSA List'!$A$2:$I$152,6,FALSE)</f>
        <v>n/a</v>
      </c>
      <c r="G19" s="26">
        <f>VLOOKUP(A19,'[1]MFSA List'!$A$2:$J$184,8,FALSE)/1000000</f>
        <v>1.5333000000000001</v>
      </c>
      <c r="H19" s="25">
        <f>VLOOKUP(A19,'[1]MFSA List'!$A$2:$N$147,14,FALSE)/1000000</f>
        <v>2.7000000000000001E-3</v>
      </c>
      <c r="I19" s="26">
        <f>VLOOKUP(A19,'[1]MFSA List'!$A$2:$R$147,18,FALSE)/1000000</f>
        <v>1.8593709683045744E-16</v>
      </c>
      <c r="J19" s="27">
        <f>VLOOKUP(A19,[1]IRESS!$A$10:$F$875,5,FALSE)</f>
        <v>37737.600000000006</v>
      </c>
      <c r="K19" s="28">
        <f>VLOOKUP(A19,[1]IRESS!$A$11:$G$684,7,FALSE)</f>
        <v>370</v>
      </c>
      <c r="L19" s="27">
        <f>VLOOKUP(A19,[1]IRESS!$A$10:$F$875,4,FALSE)</f>
        <v>6</v>
      </c>
      <c r="M19" s="29">
        <f t="shared" si="0"/>
        <v>2.4612013304637061E-2</v>
      </c>
      <c r="N19" s="30">
        <f>_xlfn.IFNA(VLOOKUP(A19,[1]Spreads!$A:$G,2,FALSE),"n/a")</f>
        <v>2.42689121449018E-3</v>
      </c>
      <c r="O19" s="28">
        <f>IFERROR(VLOOKUP($A19,[1]Spreads!$A:$G,5,FALSE)/1000,"-")</f>
        <v>62.013691999999899</v>
      </c>
      <c r="P19" s="27">
        <f>IFERROR(VLOOKUP($A19,[1]Spreads!$A:$G,6,FALSE)/1000,"-")</f>
        <v>61.097504000000001</v>
      </c>
      <c r="R19" s="32">
        <f>VLOOKUP($A19,[1]IRESS!$A$11:$AE$696,6,FALSE)/100</f>
        <v>102.1</v>
      </c>
      <c r="S19" s="33">
        <f>VLOOKUP($A19,[1]IRESS!$A$11:$AE$696,21,FALSE)/100</f>
        <v>103.32</v>
      </c>
      <c r="T19" s="32">
        <f>VLOOKUP($A19,[1]IRESS!$A$11:$AE$696,22,FALSE)/100</f>
        <v>101.39</v>
      </c>
      <c r="V19" s="34">
        <f>IFERROR((VLOOKUP($A19,[1]IRESS!$A$11:$AE$696,20,FALSE)/100)/R19,"n/a")</f>
        <v>2.9382957884427033E-2</v>
      </c>
      <c r="W19" s="35">
        <f>IFERROR(VLOOKUP($A19,[1]Morningstar!$A$2:$F$477,3,FALSE),"n/a")</f>
        <v>1.5E-3</v>
      </c>
      <c r="X19" s="34">
        <f>IFERROR(VLOOKUP($A19,[1]Morningstar!$A$2:$F$477,4,FALSE),"n/a")</f>
        <v>1.8499999999999999E-2</v>
      </c>
      <c r="Y19" s="35" t="str">
        <f>IFERROR(VLOOKUP($A19,[1]Morningstar!$A$2:$F$477,5,FALSE),"n/a")</f>
        <v>n/a</v>
      </c>
      <c r="Z19" s="34" t="str">
        <f>IFERROR(VLOOKUP($A19,[1]Morningstar!$A$2:$F$477,6,FALSE),"n/a")</f>
        <v>n/a</v>
      </c>
    </row>
    <row r="20" spans="1:26">
      <c r="A20" s="21" t="s">
        <v>250</v>
      </c>
      <c r="B20" s="22" t="s">
        <v>43</v>
      </c>
      <c r="C20" s="101" t="str">
        <f>VLOOKUP(A20,'[1]MFSA List'!$A$2:$B$152,2,FALSE)</f>
        <v>XTB CCA 4.25% Nov-19</v>
      </c>
      <c r="D20" s="102"/>
      <c r="E20" s="7"/>
      <c r="F20" s="25" t="str">
        <f>VLOOKUP(A20,'[1]MFSA List'!$A$2:$I$152,6,FALSE)</f>
        <v>n/a</v>
      </c>
      <c r="G20" s="26">
        <f>VLOOKUP(A20,'[1]MFSA List'!$A$2:$J$184,8,FALSE)/1000000</f>
        <v>1.5452999999999999</v>
      </c>
      <c r="H20" s="25">
        <f>VLOOKUP(A20,'[1]MFSA List'!$A$2:$N$147,14,FALSE)/1000000</f>
        <v>3.3E-3</v>
      </c>
      <c r="I20" s="26">
        <f>VLOOKUP(A20,'[1]MFSA List'!$A$2:$R$147,18,FALSE)/1000000</f>
        <v>0</v>
      </c>
      <c r="J20" s="27">
        <f>VLOOKUP(A20,[1]IRESS!$A$10:$F$875,5,FALSE)</f>
        <v>2057.1999999999998</v>
      </c>
      <c r="K20" s="28">
        <f>VLOOKUP(A20,[1]IRESS!$A$11:$G$684,7,FALSE)</f>
        <v>20</v>
      </c>
      <c r="L20" s="27">
        <f>VLOOKUP(A20,[1]IRESS!$A$10:$F$875,4,FALSE)</f>
        <v>1</v>
      </c>
      <c r="M20" s="29">
        <f t="shared" si="0"/>
        <v>1.3312625380185077E-3</v>
      </c>
      <c r="N20" s="30">
        <f>_xlfn.IFNA(VLOOKUP(A20,[1]Spreads!$A:$G,2,FALSE),"n/a")</f>
        <v>2.4287177246484003E-3</v>
      </c>
      <c r="O20" s="28">
        <f>IFERROR(VLOOKUP($A20,[1]Spreads!$A:$G,5,FALSE)/1000,"-")</f>
        <v>20.459139999999998</v>
      </c>
      <c r="P20" s="27">
        <f>IFERROR(VLOOKUP($A20,[1]Spreads!$A:$G,6,FALSE)/1000,"-")</f>
        <v>20.611999999999998</v>
      </c>
      <c r="R20" s="32">
        <f>VLOOKUP($A20,[1]IRESS!$A$11:$AE$696,6,FALSE)/100</f>
        <v>102.86</v>
      </c>
      <c r="S20" s="33">
        <f>VLOOKUP($A20,[1]IRESS!$A$11:$AE$696,21,FALSE)/100</f>
        <v>106.07</v>
      </c>
      <c r="T20" s="32">
        <f>VLOOKUP($A20,[1]IRESS!$A$11:$AE$696,22,FALSE)/100</f>
        <v>102.74</v>
      </c>
      <c r="V20" s="34">
        <f>IFERROR((VLOOKUP($A20,[1]IRESS!$A$11:$AE$696,20,FALSE)/100)/R20,"n/a")</f>
        <v>4.1318296713980164E-2</v>
      </c>
      <c r="W20" s="35">
        <f>IFERROR(VLOOKUP($A20,[1]Morningstar!$A$2:$F$477,3,FALSE),"n/a")</f>
        <v>1.1000000000000001E-3</v>
      </c>
      <c r="X20" s="34">
        <f>IFERROR(VLOOKUP($A20,[1]Morningstar!$A$2:$F$477,4,FALSE),"n/a")</f>
        <v>1.6E-2</v>
      </c>
      <c r="Y20" s="35" t="str">
        <f>IFERROR(VLOOKUP($A20,[1]Morningstar!$A$2:$F$477,5,FALSE),"n/a")</f>
        <v>n/a</v>
      </c>
      <c r="Z20" s="34" t="str">
        <f>IFERROR(VLOOKUP($A20,[1]Morningstar!$A$2:$F$477,6,FALSE),"n/a")</f>
        <v>n/a</v>
      </c>
    </row>
    <row r="21" spans="1:26">
      <c r="A21" s="21" t="s">
        <v>251</v>
      </c>
      <c r="B21" s="22" t="s">
        <v>43</v>
      </c>
      <c r="C21" s="101" t="str">
        <f>VLOOKUP(A21,'[1]MFSA List'!$A$2:$B$152,2,FALSE)</f>
        <v>XTB CTX 7.25% Nov-18</v>
      </c>
      <c r="D21" s="102"/>
      <c r="E21" s="7"/>
      <c r="F21" s="25" t="str">
        <f>VLOOKUP(A21,'[1]MFSA List'!$A$2:$I$152,6,FALSE)</f>
        <v>n/a</v>
      </c>
      <c r="G21" s="26">
        <f>VLOOKUP(A21,'[1]MFSA List'!$A$2:$J$184,8,FALSE)/1000000</f>
        <v>1.0237000000000001</v>
      </c>
      <c r="H21" s="25">
        <f>VLOOKUP(A21,'[1]MFSA List'!$A$2:$N$147,14,FALSE)/1000000</f>
        <v>2.5999999999999999E-3</v>
      </c>
      <c r="I21" s="26">
        <f>VLOOKUP(A21,'[1]MFSA List'!$A$2:$R$147,18,FALSE)/1000000</f>
        <v>0</v>
      </c>
      <c r="J21" s="27">
        <f>VLOOKUP(A21,[1]IRESS!$A$10:$F$875,5,FALSE)</f>
        <v>124032.04000000001</v>
      </c>
      <c r="K21" s="28">
        <f>VLOOKUP(A21,[1]IRESS!$A$11:$G$684,7,FALSE)</f>
        <v>1213</v>
      </c>
      <c r="L21" s="27">
        <f>VLOOKUP(A21,[1]IRESS!$A$10:$F$875,4,FALSE)</f>
        <v>8</v>
      </c>
      <c r="M21" s="29">
        <f t="shared" si="0"/>
        <v>0.12116053531308001</v>
      </c>
      <c r="N21" s="30">
        <f>_xlfn.IFNA(VLOOKUP(A21,[1]Spreads!$A:$G,2,FALSE),"n/a")</f>
        <v>2.4369723792462199E-3</v>
      </c>
      <c r="O21" s="28">
        <f>IFERROR(VLOOKUP($A21,[1]Spreads!$A:$G,5,FALSE)/1000,"-")</f>
        <v>60.871480499999905</v>
      </c>
      <c r="P21" s="27">
        <f>IFERROR(VLOOKUP($A21,[1]Spreads!$A:$G,6,FALSE)/1000,"-")</f>
        <v>28.050527249999902</v>
      </c>
      <c r="R21" s="32">
        <f>VLOOKUP($A21,[1]IRESS!$A$11:$AE$696,6,FALSE)/100</f>
        <v>102.37</v>
      </c>
      <c r="S21" s="33">
        <f>VLOOKUP($A21,[1]IRESS!$A$11:$AE$696,21,FALSE)/100</f>
        <v>108.72</v>
      </c>
      <c r="T21" s="32">
        <f>VLOOKUP($A21,[1]IRESS!$A$11:$AE$696,22,FALSE)/100</f>
        <v>102.02</v>
      </c>
      <c r="V21" s="34">
        <f>IFERROR((VLOOKUP($A21,[1]IRESS!$A$11:$AE$696,20,FALSE)/100)/R21,"n/a")</f>
        <v>7.0821529745042494E-2</v>
      </c>
      <c r="W21" s="35">
        <f>IFERROR(VLOOKUP($A21,[1]Morningstar!$A$2:$F$477,3,FALSE),"n/a")</f>
        <v>-6.9999999999999999E-4</v>
      </c>
      <c r="X21" s="34">
        <f>IFERROR(VLOOKUP($A21,[1]Morningstar!$A$2:$F$477,4,FALSE),"n/a")</f>
        <v>1.23E-2</v>
      </c>
      <c r="Y21" s="35" t="str">
        <f>IFERROR(VLOOKUP($A21,[1]Morningstar!$A$2:$F$477,5,FALSE),"n/a")</f>
        <v>n/a</v>
      </c>
      <c r="Z21" s="34" t="str">
        <f>IFERROR(VLOOKUP($A21,[1]Morningstar!$A$2:$F$477,6,FALSE),"n/a")</f>
        <v>n/a</v>
      </c>
    </row>
    <row r="22" spans="1:26">
      <c r="A22" s="21" t="s">
        <v>252</v>
      </c>
      <c r="B22" s="22" t="s">
        <v>43</v>
      </c>
      <c r="C22" s="101" t="str">
        <f>VLOOKUP(A22,'[1]MFSA List'!$A$2:$B$152,2,FALSE)</f>
        <v>XTB DO1 4.50% Mar-22</v>
      </c>
      <c r="D22" s="102"/>
      <c r="E22" s="7"/>
      <c r="F22" s="25" t="str">
        <f>VLOOKUP(A22,'[1]MFSA List'!$A$2:$I$152,6,FALSE)</f>
        <v>n/a</v>
      </c>
      <c r="G22" s="26">
        <f>VLOOKUP(A22,'[1]MFSA List'!$A$2:$J$184,8,FALSE)/1000000</f>
        <v>24.653904000000001</v>
      </c>
      <c r="H22" s="25">
        <f>VLOOKUP(A22,'[1]MFSA List'!$A$2:$N$147,14,FALSE)/1000000</f>
        <v>1.12416</v>
      </c>
      <c r="I22" s="26">
        <f>VLOOKUP(A22,'[1]MFSA List'!$A$2:$R$147,18,FALSE)/1000000</f>
        <v>1.0571999999999999</v>
      </c>
      <c r="J22" s="27">
        <f>VLOOKUP(A22,[1]IRESS!$A$10:$F$875,5,FALSE)</f>
        <v>1362166.4599999997</v>
      </c>
      <c r="K22" s="28">
        <f>VLOOKUP(A22,[1]IRESS!$A$11:$G$684,7,FALSE)</f>
        <v>12926</v>
      </c>
      <c r="L22" s="27">
        <f>VLOOKUP(A22,[1]IRESS!$A$10:$F$875,4,FALSE)</f>
        <v>48</v>
      </c>
      <c r="M22" s="29">
        <f t="shared" si="0"/>
        <v>5.5251552046280364E-2</v>
      </c>
      <c r="N22" s="30">
        <f>_xlfn.IFNA(VLOOKUP(A22,[1]Spreads!$A:$G,2,FALSE),"n/a")</f>
        <v>2.48472324621933E-3</v>
      </c>
      <c r="O22" s="28">
        <f>IFERROR(VLOOKUP($A22,[1]Spreads!$A:$G,5,FALSE)/1000,"-")</f>
        <v>212.431414584126</v>
      </c>
      <c r="P22" s="27">
        <f>IFERROR(VLOOKUP($A22,[1]Spreads!$A:$G,6,FALSE)/1000,"-")</f>
        <v>170.132978333333</v>
      </c>
      <c r="R22" s="32">
        <f>VLOOKUP($A22,[1]IRESS!$A$11:$AE$696,6,FALSE)/100</f>
        <v>105.72</v>
      </c>
      <c r="S22" s="33">
        <f>VLOOKUP($A22,[1]IRESS!$A$11:$AE$696,21,FALSE)/100</f>
        <v>108.12</v>
      </c>
      <c r="T22" s="32">
        <f>VLOOKUP($A22,[1]IRESS!$A$11:$AE$696,22,FALSE)/100</f>
        <v>104.07</v>
      </c>
      <c r="V22" s="34">
        <f>IFERROR((VLOOKUP($A22,[1]IRESS!$A$11:$AE$696,20,FALSE)/100)/R22,"n/a")</f>
        <v>4.2565266742338251E-2</v>
      </c>
      <c r="W22" s="35">
        <f>IFERROR(VLOOKUP($A22,[1]Morningstar!$A$2:$F$477,3,FALSE),"n/a")</f>
        <v>3.5000000000000001E-3</v>
      </c>
      <c r="X22" s="34">
        <f>IFERROR(VLOOKUP($A22,[1]Morningstar!$A$2:$F$477,4,FALSE),"n/a")</f>
        <v>3.3300000000000003E-2</v>
      </c>
      <c r="Y22" s="35" t="str">
        <f>IFERROR(VLOOKUP($A22,[1]Morningstar!$A$2:$F$477,5,FALSE),"n/a")</f>
        <v>n/a</v>
      </c>
      <c r="Z22" s="34" t="str">
        <f>IFERROR(VLOOKUP($A22,[1]Morningstar!$A$2:$F$477,6,FALSE),"n/a")</f>
        <v>n/a</v>
      </c>
    </row>
    <row r="23" spans="1:26">
      <c r="A23" s="21" t="s">
        <v>253</v>
      </c>
      <c r="B23" s="22" t="s">
        <v>43</v>
      </c>
      <c r="C23" s="101" t="str">
        <f>VLOOKUP(A23,'[1]MFSA List'!$A$2:$B$152,2,FALSE)</f>
        <v>XTB DOW 5.75% Nov-18</v>
      </c>
      <c r="D23" s="102"/>
      <c r="E23" s="7"/>
      <c r="F23" s="25" t="str">
        <f>VLOOKUP(A23,'[1]MFSA List'!$A$2:$I$152,6,FALSE)</f>
        <v>n/a</v>
      </c>
      <c r="G23" s="26">
        <f>VLOOKUP(A23,'[1]MFSA List'!$A$2:$J$184,8,FALSE)/1000000</f>
        <v>2.584425</v>
      </c>
      <c r="H23" s="25">
        <f>VLOOKUP(A23,'[1]MFSA List'!$A$2:$N$147,14,FALSE)/1000000</f>
        <v>0</v>
      </c>
      <c r="I23" s="26">
        <f>VLOOKUP(A23,'[1]MFSA List'!$A$2:$R$147,18,FALSE)/1000000</f>
        <v>0</v>
      </c>
      <c r="J23" s="27">
        <f>VLOOKUP(A23,[1]IRESS!$A$10:$F$875,5,FALSE)</f>
        <v>0</v>
      </c>
      <c r="K23" s="28">
        <f>VLOOKUP(A23,[1]IRESS!$A$11:$G$684,7,FALSE)</f>
        <v>0</v>
      </c>
      <c r="L23" s="27">
        <f>VLOOKUP(A23,[1]IRESS!$A$10:$F$875,4,FALSE)</f>
        <v>0</v>
      </c>
      <c r="M23" s="29">
        <f>IFERROR(+J23/(G23*1000000),"n/a")</f>
        <v>0</v>
      </c>
      <c r="N23" s="30">
        <f>_xlfn.IFNA(VLOOKUP(A23,[1]Spreads!$A:$G,2,FALSE),"n/a")</f>
        <v>2.4675516952080102E-3</v>
      </c>
      <c r="O23" s="28">
        <f>IFERROR(VLOOKUP($A23,[1]Spreads!$A:$G,5,FALSE)/1000,"-")</f>
        <v>10.119</v>
      </c>
      <c r="P23" s="27">
        <f>IFERROR(VLOOKUP($A23,[1]Spreads!$A:$G,6,FALSE)/1000,"-")</f>
        <v>10.144</v>
      </c>
      <c r="R23" s="32">
        <f>VLOOKUP($A23,[1]IRESS!$A$11:$AE$696,6,FALSE)/100</f>
        <v>101.35</v>
      </c>
      <c r="S23" s="33">
        <f>VLOOKUP($A23,[1]IRESS!$A$11:$AE$696,21,FALSE)/100</f>
        <v>106.25</v>
      </c>
      <c r="T23" s="32">
        <f>VLOOKUP($A23,[1]IRESS!$A$11:$AE$696,22,FALSE)/100</f>
        <v>101.33</v>
      </c>
      <c r="V23" s="34">
        <f>IFERROR((VLOOKUP($A23,[1]IRESS!$A$11:$AE$696,20,FALSE)/100)/R23,"n/a")</f>
        <v>5.6734089787863838E-2</v>
      </c>
      <c r="W23" s="35">
        <f>IFERROR(VLOOKUP($A23,[1]Morningstar!$A$2:$F$477,3,FALSE),"n/a")</f>
        <v>-1.2999999999999999E-3</v>
      </c>
      <c r="X23" s="34">
        <f>IFERROR(VLOOKUP($A23,[1]Morningstar!$A$2:$F$477,4,FALSE),"n/a")</f>
        <v>1.66E-2</v>
      </c>
      <c r="Y23" s="35" t="str">
        <f>IFERROR(VLOOKUP($A23,[1]Morningstar!$A$2:$F$477,5,FALSE),"n/a")</f>
        <v>n/a</v>
      </c>
      <c r="Z23" s="34" t="str">
        <f>IFERROR(VLOOKUP($A23,[1]Morningstar!$A$2:$F$477,6,FALSE),"n/a")</f>
        <v>n/a</v>
      </c>
    </row>
    <row r="24" spans="1:26">
      <c r="A24" s="21" t="s">
        <v>254</v>
      </c>
      <c r="B24" s="22" t="s">
        <v>43</v>
      </c>
      <c r="C24" s="101" t="str">
        <f>VLOOKUP(A24,'[1]MFSA List'!$A$2:$B$152,2,FALSE)</f>
        <v>XTB DX1 4.75% Nov-25</v>
      </c>
      <c r="D24" s="102"/>
      <c r="E24" s="7"/>
      <c r="F24" s="25" t="str">
        <f>VLOOKUP(A24,'[1]MFSA List'!$A$2:$I$152,6,FALSE)</f>
        <v>n/a</v>
      </c>
      <c r="G24" s="26">
        <f>VLOOKUP(A24,'[1]MFSA List'!$A$2:$J$184,8,FALSE)/1000000</f>
        <v>6.3202600000000002</v>
      </c>
      <c r="H24" s="25">
        <f>VLOOKUP(A24,'[1]MFSA List'!$A$2:$N$147,14,FALSE)/1000000</f>
        <v>0.56923000000000001</v>
      </c>
      <c r="I24" s="26">
        <f>VLOOKUP(A24,'[1]MFSA List'!$A$2:$R$147,18,FALSE)/1000000</f>
        <v>0.54484999999999995</v>
      </c>
      <c r="J24" s="27">
        <f>VLOOKUP(A24,[1]IRESS!$A$10:$F$875,5,FALSE)</f>
        <v>574436.83000000007</v>
      </c>
      <c r="K24" s="28">
        <f>VLOOKUP(A24,[1]IRESS!$A$11:$G$684,7,FALSE)</f>
        <v>5302</v>
      </c>
      <c r="L24" s="27">
        <f>VLOOKUP(A24,[1]IRESS!$A$10:$F$875,4,FALSE)</f>
        <v>27</v>
      </c>
      <c r="M24" s="29">
        <f t="shared" si="0"/>
        <v>9.0888164410957789E-2</v>
      </c>
      <c r="N24" s="30">
        <f>_xlfn.IFNA(VLOOKUP(A24,[1]Spreads!$A:$G,2,FALSE),"n/a")</f>
        <v>4.1824127556569501E-3</v>
      </c>
      <c r="O24" s="28">
        <f>IFERROR(VLOOKUP($A24,[1]Spreads!$A:$G,5,FALSE)/1000,"-")</f>
        <v>152.46089674999899</v>
      </c>
      <c r="P24" s="27">
        <f>IFERROR(VLOOKUP($A24,[1]Spreads!$A:$G,6,FALSE)/1000,"-")</f>
        <v>121.097315083333</v>
      </c>
      <c r="R24" s="32">
        <f>VLOOKUP($A24,[1]IRESS!$A$11:$AE$696,6,FALSE)/100</f>
        <v>108.97</v>
      </c>
      <c r="S24" s="33">
        <f>VLOOKUP($A24,[1]IRESS!$A$11:$AE$696,21,FALSE)/100</f>
        <v>112.11</v>
      </c>
      <c r="T24" s="32">
        <f>VLOOKUP($A24,[1]IRESS!$A$11:$AE$696,22,FALSE)/100</f>
        <v>107.05</v>
      </c>
      <c r="V24" s="34">
        <f>IFERROR((VLOOKUP($A24,[1]IRESS!$A$11:$AE$696,20,FALSE)/100)/R24,"n/a")</f>
        <v>4.358997889327338E-2</v>
      </c>
      <c r="W24" s="35">
        <f>IFERROR(VLOOKUP($A24,[1]Morningstar!$A$2:$F$477,3,FALSE),"n/a")</f>
        <v>5.5999999999999999E-3</v>
      </c>
      <c r="X24" s="34">
        <f>IFERROR(VLOOKUP($A24,[1]Morningstar!$A$2:$F$477,4,FALSE),"n/a")</f>
        <v>3.5299999999999998E-2</v>
      </c>
      <c r="Y24" s="35" t="str">
        <f>IFERROR(VLOOKUP($A24,[1]Morningstar!$A$2:$F$477,5,FALSE),"n/a")</f>
        <v>n/a</v>
      </c>
      <c r="Z24" s="34" t="str">
        <f>IFERROR(VLOOKUP($A24,[1]Morningstar!$A$2:$F$477,6,FALSE),"n/a")</f>
        <v>n/a</v>
      </c>
    </row>
    <row r="25" spans="1:26">
      <c r="A25" s="21" t="s">
        <v>255</v>
      </c>
      <c r="B25" s="22" t="s">
        <v>43</v>
      </c>
      <c r="C25" s="101" t="str">
        <f>VLOOKUP(A25,'[1]MFSA List'!$A$2:$B$152,2,FALSE)</f>
        <v>XTB DXS 5.75% Sep-18</v>
      </c>
      <c r="D25" s="102"/>
      <c r="E25" s="7"/>
      <c r="F25" s="25" t="str">
        <f>VLOOKUP(A25,'[1]MFSA List'!$A$2:$I$152,6,FALSE)</f>
        <v>n/a</v>
      </c>
      <c r="G25" s="26">
        <f>VLOOKUP(A25,'[1]MFSA List'!$A$2:$J$184,8,FALSE)/1000000</f>
        <v>0.77070000000000005</v>
      </c>
      <c r="H25" s="25">
        <f>VLOOKUP(A25,'[1]MFSA List'!$A$2:$N$147,14,FALSE)/1000000</f>
        <v>1.1249999999999999E-3</v>
      </c>
      <c r="I25" s="26">
        <f>VLOOKUP(A25,'[1]MFSA List'!$A$2:$R$147,18,FALSE)/1000000</f>
        <v>0</v>
      </c>
      <c r="J25" s="27">
        <f>VLOOKUP(A25,[1]IRESS!$A$10:$F$875,5,FALSE)</f>
        <v>9339.5400000000009</v>
      </c>
      <c r="K25" s="28">
        <f>VLOOKUP(A25,[1]IRESS!$A$11:$G$684,7,FALSE)</f>
        <v>91</v>
      </c>
      <c r="L25" s="27">
        <f>VLOOKUP(A25,[1]IRESS!$A$10:$F$875,4,FALSE)</f>
        <v>2</v>
      </c>
      <c r="M25" s="29">
        <f t="shared" si="0"/>
        <v>1.2118256130790192E-2</v>
      </c>
      <c r="N25" s="30">
        <f>_xlfn.IFNA(VLOOKUP(A25,[1]Spreads!$A:$G,2,FALSE),"n/a")</f>
        <v>2.4324194735431902E-3</v>
      </c>
      <c r="O25" s="28">
        <f>IFERROR(VLOOKUP($A25,[1]Spreads!$A:$G,5,FALSE)/1000,"-")</f>
        <v>203.93645605054701</v>
      </c>
      <c r="P25" s="27">
        <f>IFERROR(VLOOKUP($A25,[1]Spreads!$A:$G,6,FALSE)/1000,"-")</f>
        <v>102.925</v>
      </c>
      <c r="R25" s="32">
        <f>VLOOKUP($A25,[1]IRESS!$A$11:$AE$696,6,FALSE)/100</f>
        <v>102.69</v>
      </c>
      <c r="S25" s="33">
        <f>VLOOKUP($A25,[1]IRESS!$A$11:$AE$696,21,FALSE)/100</f>
        <v>106.88</v>
      </c>
      <c r="T25" s="32">
        <f>VLOOKUP($A25,[1]IRESS!$A$11:$AE$696,22,FALSE)/100</f>
        <v>102.62</v>
      </c>
      <c r="V25" s="34">
        <f>IFERROR((VLOOKUP($A25,[1]IRESS!$A$11:$AE$696,20,FALSE)/100)/R25,"n/a")</f>
        <v>5.5993767650209372E-2</v>
      </c>
      <c r="W25" s="35">
        <f>IFERROR(VLOOKUP($A25,[1]Morningstar!$A$2:$F$477,3,FALSE),"n/a")</f>
        <v>-2.3099999999999999E-2</v>
      </c>
      <c r="X25" s="34">
        <f>IFERROR(VLOOKUP($A25,[1]Morningstar!$A$2:$F$477,4,FALSE),"n/a")</f>
        <v>1.4999999999999999E-2</v>
      </c>
      <c r="Y25" s="35" t="str">
        <f>IFERROR(VLOOKUP($A25,[1]Morningstar!$A$2:$F$477,5,FALSE),"n/a")</f>
        <v>n/a</v>
      </c>
      <c r="Z25" s="34" t="str">
        <f>IFERROR(VLOOKUP($A25,[1]Morningstar!$A$2:$F$477,6,FALSE),"n/a")</f>
        <v>n/a</v>
      </c>
    </row>
    <row r="26" spans="1:26">
      <c r="A26" s="21" t="s">
        <v>256</v>
      </c>
      <c r="B26" s="22" t="s">
        <v>43</v>
      </c>
      <c r="C26" s="101" t="str">
        <f>VLOOKUP(A26,'[1]MFSA List'!$A$2:$B$152,2,FALSE)</f>
        <v>XTB F04 FLT Nov-18</v>
      </c>
      <c r="D26" s="102"/>
      <c r="E26" s="7"/>
      <c r="F26" s="25" t="str">
        <f>VLOOKUP(A26,'[1]MFSA List'!$A$2:$I$152,6,FALSE)</f>
        <v>n/a</v>
      </c>
      <c r="G26" s="26">
        <f>VLOOKUP(A26,'[1]MFSA List'!$A$2:$J$184,8,FALSE)/1000000</f>
        <v>3.5220500000000001</v>
      </c>
      <c r="H26" s="25">
        <f>VLOOKUP(A26,'[1]MFSA List'!$A$2:$N$147,14,FALSE)/1000000</f>
        <v>5.5999999999999999E-3</v>
      </c>
      <c r="I26" s="26">
        <f>VLOOKUP(A26,'[1]MFSA List'!$A$2:$R$147,18,FALSE)/1000000</f>
        <v>0</v>
      </c>
      <c r="J26" s="27">
        <f>VLOOKUP(A26,[1]IRESS!$A$10:$F$875,5,FALSE)</f>
        <v>100.60000000000001</v>
      </c>
      <c r="K26" s="28">
        <f>VLOOKUP(A26,[1]IRESS!$A$11:$G$684,7,FALSE)</f>
        <v>1</v>
      </c>
      <c r="L26" s="27">
        <f>VLOOKUP(A26,[1]IRESS!$A$10:$F$875,4,FALSE)</f>
        <v>1</v>
      </c>
      <c r="M26" s="29">
        <f t="shared" si="0"/>
        <v>2.8562910804786987E-5</v>
      </c>
      <c r="N26" s="30">
        <f>_xlfn.IFNA(VLOOKUP(A26,[1]Spreads!$A:$G,2,FALSE),"n/a")</f>
        <v>9.9388771158082892E-4</v>
      </c>
      <c r="O26" s="28">
        <f>IFERROR(VLOOKUP($A26,[1]Spreads!$A:$G,5,FALSE)/1000,"-")</f>
        <v>167.61497</v>
      </c>
      <c r="P26" s="27">
        <f>IFERROR(VLOOKUP($A26,[1]Spreads!$A:$G,6,FALSE)/1000,"-")</f>
        <v>42.1786349999999</v>
      </c>
      <c r="R26" s="32">
        <f>VLOOKUP($A26,[1]IRESS!$A$11:$AE$696,6,FALSE)/100</f>
        <v>100.6</v>
      </c>
      <c r="S26" s="33">
        <f>VLOOKUP($A26,[1]IRESS!$A$11:$AE$696,21,FALSE)/100</f>
        <v>101.59</v>
      </c>
      <c r="T26" s="32">
        <f>VLOOKUP($A26,[1]IRESS!$A$11:$AE$696,22,FALSE)/100</f>
        <v>100.39</v>
      </c>
      <c r="V26" s="34">
        <f>IFERROR((VLOOKUP($A26,[1]IRESS!$A$11:$AE$696,20,FALSE)/100)/R26,"n/a")</f>
        <v>2.6480159045725649E-2</v>
      </c>
      <c r="W26" s="35">
        <f>IFERROR(VLOOKUP($A26,[1]Morningstar!$A$2:$F$477,3,FALSE),"n/a")</f>
        <v>1.2999999999999999E-3</v>
      </c>
      <c r="X26" s="34">
        <f>IFERROR(VLOOKUP($A26,[1]Morningstar!$A$2:$F$477,4,FALSE),"n/a")</f>
        <v>1.7000000000000001E-2</v>
      </c>
      <c r="Y26" s="35" t="str">
        <f>IFERROR(VLOOKUP($A26,[1]Morningstar!$A$2:$F$477,5,FALSE),"n/a")</f>
        <v>n/a</v>
      </c>
      <c r="Z26" s="34" t="str">
        <f>IFERROR(VLOOKUP($A26,[1]Morningstar!$A$2:$F$477,6,FALSE),"n/a")</f>
        <v>n/a</v>
      </c>
    </row>
    <row r="27" spans="1:26">
      <c r="A27" s="21" t="s">
        <v>257</v>
      </c>
      <c r="B27" s="22" t="s">
        <v>43</v>
      </c>
      <c r="C27" s="101" t="str">
        <f>VLOOKUP(A27,'[1]MFSA List'!$A$2:$B$152,2,FALSE)</f>
        <v>XTB F05 FLT May-19</v>
      </c>
      <c r="D27" s="102"/>
      <c r="E27" s="7"/>
      <c r="F27" s="25" t="str">
        <f>VLOOKUP(A27,'[1]MFSA List'!$A$2:$I$152,6,FALSE)</f>
        <v>n/a</v>
      </c>
      <c r="G27" s="26">
        <f>VLOOKUP(A27,'[1]MFSA List'!$A$2:$J$184,8,FALSE)/1000000</f>
        <v>1.5121500000000001</v>
      </c>
      <c r="H27" s="25">
        <f>VLOOKUP(A27,'[1]MFSA List'!$A$2:$N$147,14,FALSE)/1000000</f>
        <v>1.8E-3</v>
      </c>
      <c r="I27" s="26">
        <f>VLOOKUP(A27,'[1]MFSA List'!$A$2:$R$147,18,FALSE)/1000000</f>
        <v>0</v>
      </c>
      <c r="J27" s="27">
        <f>VLOOKUP(A27,[1]IRESS!$A$10:$F$875,5,FALSE)</f>
        <v>130931.34000000001</v>
      </c>
      <c r="K27" s="28">
        <f>VLOOKUP(A27,[1]IRESS!$A$11:$G$684,7,FALSE)</f>
        <v>1298</v>
      </c>
      <c r="L27" s="27">
        <f>VLOOKUP(A27,[1]IRESS!$A$10:$F$875,4,FALSE)</f>
        <v>5</v>
      </c>
      <c r="M27" s="29">
        <f t="shared" si="0"/>
        <v>8.6586211685348677E-2</v>
      </c>
      <c r="N27" s="30">
        <f>_xlfn.IFNA(VLOOKUP(A27,[1]Spreads!$A:$G,2,FALSE),"n/a")</f>
        <v>9.9201439484701906E-4</v>
      </c>
      <c r="O27" s="28">
        <f>IFERROR(VLOOKUP($A27,[1]Spreads!$A:$G,5,FALSE)/1000,"-")</f>
        <v>566.73996149999994</v>
      </c>
      <c r="P27" s="27">
        <f>IFERROR(VLOOKUP($A27,[1]Spreads!$A:$G,6,FALSE)/1000,"-")</f>
        <v>79.323902500000003</v>
      </c>
      <c r="R27" s="32">
        <f>VLOOKUP($A27,[1]IRESS!$A$11:$AE$696,6,FALSE)/100</f>
        <v>100.77</v>
      </c>
      <c r="S27" s="33">
        <f>VLOOKUP($A27,[1]IRESS!$A$11:$AE$696,21,FALSE)/100</f>
        <v>101.72</v>
      </c>
      <c r="T27" s="32">
        <f>VLOOKUP($A27,[1]IRESS!$A$11:$AE$696,22,FALSE)/100</f>
        <v>100.67</v>
      </c>
      <c r="V27" s="34">
        <f>IFERROR((VLOOKUP($A27,[1]IRESS!$A$11:$AE$696,20,FALSE)/100)/R27,"n/a")</f>
        <v>2.5999593132876843E-2</v>
      </c>
      <c r="W27" s="35">
        <f>IFERROR(VLOOKUP($A27,[1]Morningstar!$A$2:$F$477,3,FALSE),"n/a")</f>
        <v>8.9999999999999998E-4</v>
      </c>
      <c r="X27" s="34">
        <f>IFERROR(VLOOKUP($A27,[1]Morningstar!$A$2:$F$477,4,FALSE),"n/a")</f>
        <v>2.2599999999999999E-2</v>
      </c>
      <c r="Y27" s="35" t="str">
        <f>IFERROR(VLOOKUP($A27,[1]Morningstar!$A$2:$F$477,5,FALSE),"n/a")</f>
        <v>n/a</v>
      </c>
      <c r="Z27" s="34" t="str">
        <f>IFERROR(VLOOKUP($A27,[1]Morningstar!$A$2:$F$477,6,FALSE),"n/a")</f>
        <v>n/a</v>
      </c>
    </row>
    <row r="28" spans="1:26">
      <c r="A28" s="21" t="s">
        <v>258</v>
      </c>
      <c r="B28" s="22" t="s">
        <v>43</v>
      </c>
      <c r="C28" s="101" t="str">
        <f>VLOOKUP(A28,'[1]MFSA List'!$A$2:$B$152,2,FALSE)</f>
        <v>XTB F06 FLT Apr-19</v>
      </c>
      <c r="D28" s="102"/>
      <c r="E28" s="7"/>
      <c r="F28" s="25" t="str">
        <f>VLOOKUP(A28,'[1]MFSA List'!$A$2:$I$152,6,FALSE)</f>
        <v>n/a</v>
      </c>
      <c r="G28" s="26">
        <f>VLOOKUP(A28,'[1]MFSA List'!$A$2:$J$184,8,FALSE)/1000000</f>
        <v>13.47423</v>
      </c>
      <c r="H28" s="25">
        <f>VLOOKUP(A28,'[1]MFSA List'!$A$2:$N$147,14,FALSE)/1000000</f>
        <v>1.55741</v>
      </c>
      <c r="I28" s="26">
        <f>VLOOKUP(A28,'[1]MFSA List'!$A$2:$R$147,18,FALSE)/1000000</f>
        <v>1.5196499999999999</v>
      </c>
      <c r="J28" s="27">
        <f>VLOOKUP(A28,[1]IRESS!$A$10:$F$875,5,FALSE)</f>
        <v>2697575.38</v>
      </c>
      <c r="K28" s="28">
        <f>VLOOKUP(A28,[1]IRESS!$A$11:$G$684,7,FALSE)</f>
        <v>26647</v>
      </c>
      <c r="L28" s="27">
        <f>VLOOKUP(A28,[1]IRESS!$A$10:$F$875,4,FALSE)</f>
        <v>27</v>
      </c>
      <c r="M28" s="29">
        <f t="shared" si="0"/>
        <v>0.20020256296649233</v>
      </c>
      <c r="N28" s="30">
        <f>_xlfn.IFNA(VLOOKUP(A28,[1]Spreads!$A:$G,2,FALSE),"n/a")</f>
        <v>9.4867129890642196E-4</v>
      </c>
      <c r="O28" s="28">
        <f>IFERROR(VLOOKUP($A28,[1]Spreads!$A:$G,5,FALSE)/1000,"-")</f>
        <v>1396.2670918333299</v>
      </c>
      <c r="P28" s="27">
        <f>IFERROR(VLOOKUP($A28,[1]Spreads!$A:$G,6,FALSE)/1000,"-")</f>
        <v>234.21242762499898</v>
      </c>
      <c r="R28" s="32">
        <f>VLOOKUP($A28,[1]IRESS!$A$11:$AE$696,6,FALSE)/100</f>
        <v>101.31</v>
      </c>
      <c r="S28" s="33">
        <f>VLOOKUP($A28,[1]IRESS!$A$11:$AE$696,21,FALSE)/100</f>
        <v>101.99</v>
      </c>
      <c r="T28" s="32">
        <f>VLOOKUP($A28,[1]IRESS!$A$11:$AE$696,22,FALSE)/100</f>
        <v>100.73</v>
      </c>
      <c r="V28" s="34">
        <f>IFERROR((VLOOKUP($A28,[1]IRESS!$A$11:$AE$696,20,FALSE)/100)/R28,"n/a")</f>
        <v>2.8642720363241534E-2</v>
      </c>
      <c r="W28" s="35">
        <f>IFERROR(VLOOKUP($A28,[1]Morningstar!$A$2:$F$477,3,FALSE),"n/a")</f>
        <v>3.2000000000000002E-3</v>
      </c>
      <c r="X28" s="34">
        <f>IFERROR(VLOOKUP($A28,[1]Morningstar!$A$2:$F$477,4,FALSE),"n/a")</f>
        <v>2.3699999999999999E-2</v>
      </c>
      <c r="Y28" s="35" t="str">
        <f>IFERROR(VLOOKUP($A28,[1]Morningstar!$A$2:$F$477,5,FALSE),"n/a")</f>
        <v>n/a</v>
      </c>
      <c r="Z28" s="34" t="str">
        <f>IFERROR(VLOOKUP($A28,[1]Morningstar!$A$2:$F$477,6,FALSE),"n/a")</f>
        <v>n/a</v>
      </c>
    </row>
    <row r="29" spans="1:26">
      <c r="A29" s="21" t="s">
        <v>259</v>
      </c>
      <c r="B29" s="22" t="s">
        <v>43</v>
      </c>
      <c r="C29" s="101" t="str">
        <f>VLOOKUP(A29,'[1]MFSA List'!$A$2:$B$152,2,FALSE)</f>
        <v>XTB F07 FLT Apr-20</v>
      </c>
      <c r="D29" s="102"/>
      <c r="E29" s="7"/>
      <c r="F29" s="25" t="str">
        <f>VLOOKUP(A29,'[1]MFSA List'!$A$2:$I$152,6,FALSE)</f>
        <v>n/a</v>
      </c>
      <c r="G29" s="26">
        <f>VLOOKUP(A29,'[1]MFSA List'!$A$2:$J$184,8,FALSE)/1000000</f>
        <v>1.5219</v>
      </c>
      <c r="H29" s="25">
        <f>VLOOKUP(A29,'[1]MFSA List'!$A$2:$N$147,14,FALSE)/1000000</f>
        <v>1.1999999999999999E-3</v>
      </c>
      <c r="I29" s="26">
        <f>VLOOKUP(A29,'[1]MFSA List'!$A$2:$R$147,18,FALSE)/1000000</f>
        <v>1.8455466488376259E-16</v>
      </c>
      <c r="J29" s="27">
        <f>VLOOKUP(A29,[1]IRESS!$A$10:$F$875,5,FALSE)</f>
        <v>166353.20000000001</v>
      </c>
      <c r="K29" s="28">
        <f>VLOOKUP(A29,[1]IRESS!$A$11:$G$684,7,FALSE)</f>
        <v>1640</v>
      </c>
      <c r="L29" s="27">
        <f>VLOOKUP(A29,[1]IRESS!$A$10:$F$875,4,FALSE)</f>
        <v>3</v>
      </c>
      <c r="M29" s="29">
        <f t="shared" si="0"/>
        <v>0.10930626190945529</v>
      </c>
      <c r="N29" s="30">
        <f>_xlfn.IFNA(VLOOKUP(A29,[1]Spreads!$A:$G,2,FALSE),"n/a")</f>
        <v>8.6211258664504803E-4</v>
      </c>
      <c r="O29" s="28">
        <f>IFERROR(VLOOKUP($A29,[1]Spreads!$A:$G,5,FALSE)/1000,"-")</f>
        <v>365.26531666666602</v>
      </c>
      <c r="P29" s="27">
        <f>IFERROR(VLOOKUP($A29,[1]Spreads!$A:$G,6,FALSE)/1000,"-")</f>
        <v>34.831920666666598</v>
      </c>
      <c r="R29" s="32">
        <f>VLOOKUP($A29,[1]IRESS!$A$11:$AE$696,6,FALSE)/100</f>
        <v>101.44</v>
      </c>
      <c r="S29" s="33">
        <f>VLOOKUP($A29,[1]IRESS!$A$11:$AE$696,21,FALSE)/100</f>
        <v>101.9</v>
      </c>
      <c r="T29" s="32">
        <f>VLOOKUP($A29,[1]IRESS!$A$11:$AE$696,22,FALSE)/100</f>
        <v>101.02</v>
      </c>
      <c r="V29" s="34">
        <f>IFERROR((VLOOKUP($A29,[1]IRESS!$A$11:$AE$696,20,FALSE)/100)/R29,"n/a")</f>
        <v>2.6019292192429024E-2</v>
      </c>
      <c r="W29" s="35">
        <f>IFERROR(VLOOKUP($A29,[1]Morningstar!$A$2:$F$477,3,FALSE),"n/a")</f>
        <v>5.9999999999999995E-4</v>
      </c>
      <c r="X29" s="34">
        <f>IFERROR(VLOOKUP($A29,[1]Morningstar!$A$2:$F$477,4,FALSE),"n/a")</f>
        <v>2.29E-2</v>
      </c>
      <c r="Y29" s="35" t="str">
        <f>IFERROR(VLOOKUP($A29,[1]Morningstar!$A$2:$F$477,5,FALSE),"n/a")</f>
        <v>n/a</v>
      </c>
      <c r="Z29" s="34" t="str">
        <f>IFERROR(VLOOKUP($A29,[1]Morningstar!$A$2:$F$477,6,FALSE),"n/a")</f>
        <v>n/a</v>
      </c>
    </row>
    <row r="30" spans="1:26">
      <c r="A30" s="21" t="s">
        <v>260</v>
      </c>
      <c r="B30" s="22" t="s">
        <v>43</v>
      </c>
      <c r="C30" s="101" t="str">
        <f>VLOOKUP(A30,'[1]MFSA List'!$A$2:$B$152,2,FALSE)</f>
        <v>XTB F08 FLT Nov-19</v>
      </c>
      <c r="D30" s="102"/>
      <c r="E30" s="7"/>
      <c r="F30" s="25" t="str">
        <f>VLOOKUP(A30,'[1]MFSA List'!$A$2:$I$152,6,FALSE)</f>
        <v>n/a</v>
      </c>
      <c r="G30" s="26">
        <f>VLOOKUP(A30,'[1]MFSA List'!$A$2:$J$184,8,FALSE)/1000000</f>
        <v>12.383525000000001</v>
      </c>
      <c r="H30" s="25">
        <f>VLOOKUP(A30,'[1]MFSA List'!$A$2:$N$147,14,FALSE)/1000000</f>
        <v>2.7456649999999998</v>
      </c>
      <c r="I30" s="26">
        <f>VLOOKUP(A30,'[1]MFSA List'!$A$2:$R$147,18,FALSE)/1000000</f>
        <v>2.7294299999999998</v>
      </c>
      <c r="J30" s="27">
        <f>VLOOKUP(A30,[1]IRESS!$A$10:$F$875,5,FALSE)</f>
        <v>3376419.6900000004</v>
      </c>
      <c r="K30" s="28">
        <f>VLOOKUP(A30,[1]IRESS!$A$11:$G$684,7,FALSE)</f>
        <v>33387</v>
      </c>
      <c r="L30" s="27">
        <f>VLOOKUP(A30,[1]IRESS!$A$10:$F$875,4,FALSE)</f>
        <v>38</v>
      </c>
      <c r="M30" s="29">
        <f t="shared" si="0"/>
        <v>0.27265416672554871</v>
      </c>
      <c r="N30" s="30">
        <f>_xlfn.IFNA(VLOOKUP(A30,[1]Spreads!$A:$G,2,FALSE),"n/a")</f>
        <v>8.0224334272718605E-4</v>
      </c>
      <c r="O30" s="28">
        <f>IFERROR(VLOOKUP($A30,[1]Spreads!$A:$G,5,FALSE)/1000,"-")</f>
        <v>1531.56165332196</v>
      </c>
      <c r="P30" s="27">
        <f>IFERROR(VLOOKUP($A30,[1]Spreads!$A:$G,6,FALSE)/1000,"-")</f>
        <v>195.07846293333301</v>
      </c>
      <c r="R30" s="32">
        <f>VLOOKUP($A30,[1]IRESS!$A$11:$AE$696,6,FALSE)/100</f>
        <v>101.09</v>
      </c>
      <c r="S30" s="33">
        <f>VLOOKUP($A30,[1]IRESS!$A$11:$AE$696,21,FALSE)/100</f>
        <v>101.77</v>
      </c>
      <c r="T30" s="32">
        <f>VLOOKUP($A30,[1]IRESS!$A$11:$AE$696,22,FALSE)/100</f>
        <v>100.69</v>
      </c>
      <c r="V30" s="34">
        <f>IFERROR((VLOOKUP($A30,[1]IRESS!$A$11:$AE$696,20,FALSE)/100)/R30,"n/a")</f>
        <v>2.8125086556533785E-2</v>
      </c>
      <c r="W30" s="35">
        <f>IFERROR(VLOOKUP($A30,[1]Morningstar!$A$2:$F$477,3,FALSE),"n/a")</f>
        <v>8.0000000000000004E-4</v>
      </c>
      <c r="X30" s="34">
        <f>IFERROR(VLOOKUP($A30,[1]Morningstar!$A$2:$F$477,4,FALSE),"n/a")</f>
        <v>2.69E-2</v>
      </c>
      <c r="Y30" s="35" t="str">
        <f>IFERROR(VLOOKUP($A30,[1]Morningstar!$A$2:$F$477,5,FALSE),"n/a")</f>
        <v>n/a</v>
      </c>
      <c r="Z30" s="34" t="str">
        <f>IFERROR(VLOOKUP($A30,[1]Morningstar!$A$2:$F$477,6,FALSE),"n/a")</f>
        <v>n/a</v>
      </c>
    </row>
    <row r="31" spans="1:26">
      <c r="A31" s="21" t="s">
        <v>261</v>
      </c>
      <c r="B31" s="22" t="s">
        <v>43</v>
      </c>
      <c r="C31" s="101" t="str">
        <f>VLOOKUP(A31,'[1]MFSA List'!$A$2:$B$152,2,FALSE)</f>
        <v>XTB F09 FLT Mar-20</v>
      </c>
      <c r="D31" s="102"/>
      <c r="E31" s="7"/>
      <c r="F31" s="25" t="str">
        <f>VLOOKUP(A31,'[1]MFSA List'!$A$2:$I$152,6,FALSE)</f>
        <v>n/a</v>
      </c>
      <c r="G31" s="26">
        <f>VLOOKUP(A31,'[1]MFSA List'!$A$2:$J$184,8,FALSE)/1000000</f>
        <v>13.288639999999999</v>
      </c>
      <c r="H31" s="25">
        <f>VLOOKUP(A31,'[1]MFSA List'!$A$2:$N$147,14,FALSE)/1000000</f>
        <v>0.52483999999999997</v>
      </c>
      <c r="I31" s="26">
        <f>VLOOKUP(A31,'[1]MFSA List'!$A$2:$R$147,18,FALSE)/1000000</f>
        <v>0.50719999999999998</v>
      </c>
      <c r="J31" s="27">
        <f>VLOOKUP(A31,[1]IRESS!$A$10:$F$875,5,FALSE)</f>
        <v>1071773.1299999999</v>
      </c>
      <c r="K31" s="28">
        <f>VLOOKUP(A31,[1]IRESS!$A$11:$G$684,7,FALSE)</f>
        <v>10574</v>
      </c>
      <c r="L31" s="27">
        <f>VLOOKUP(A31,[1]IRESS!$A$10:$F$875,4,FALSE)</f>
        <v>49</v>
      </c>
      <c r="M31" s="29">
        <f t="shared" si="0"/>
        <v>8.0653334728008272E-2</v>
      </c>
      <c r="N31" s="30">
        <f>_xlfn.IFNA(VLOOKUP(A31,[1]Spreads!$A:$G,2,FALSE),"n/a")</f>
        <v>9.0369230996498596E-4</v>
      </c>
      <c r="O31" s="28">
        <f>IFERROR(VLOOKUP($A31,[1]Spreads!$A:$G,5,FALSE)/1000,"-")</f>
        <v>1887.71873163333</v>
      </c>
      <c r="P31" s="27">
        <f>IFERROR(VLOOKUP($A31,[1]Spreads!$A:$G,6,FALSE)/1000,"-")</f>
        <v>222.321450899242</v>
      </c>
      <c r="R31" s="32">
        <f>VLOOKUP($A31,[1]IRESS!$A$11:$AE$696,6,FALSE)/100</f>
        <v>101.44</v>
      </c>
      <c r="S31" s="33">
        <f>VLOOKUP($A31,[1]IRESS!$A$11:$AE$696,21,FALSE)/100</f>
        <v>102.33</v>
      </c>
      <c r="T31" s="32">
        <f>VLOOKUP($A31,[1]IRESS!$A$11:$AE$696,22,FALSE)/100</f>
        <v>101.13</v>
      </c>
      <c r="V31" s="34">
        <f>IFERROR((VLOOKUP($A31,[1]IRESS!$A$11:$AE$696,20,FALSE)/100)/R31,"n/a")</f>
        <v>2.8755776813880127E-2</v>
      </c>
      <c r="W31" s="35">
        <f>IFERROR(VLOOKUP($A31,[1]Morningstar!$A$2:$F$477,3,FALSE),"n/a")</f>
        <v>1.2999999999999999E-3</v>
      </c>
      <c r="X31" s="34">
        <f>IFERROR(VLOOKUP($A31,[1]Morningstar!$A$2:$F$477,4,FALSE),"n/a")</f>
        <v>2.5700000000000001E-2</v>
      </c>
      <c r="Y31" s="35" t="str">
        <f>IFERROR(VLOOKUP($A31,[1]Morningstar!$A$2:$F$477,5,FALSE),"n/a")</f>
        <v>n/a</v>
      </c>
      <c r="Z31" s="34" t="str">
        <f>IFERROR(VLOOKUP($A31,[1]Morningstar!$A$2:$F$477,6,FALSE),"n/a")</f>
        <v>n/a</v>
      </c>
    </row>
    <row r="32" spans="1:26">
      <c r="A32" s="21" t="s">
        <v>262</v>
      </c>
      <c r="B32" s="22" t="s">
        <v>43</v>
      </c>
      <c r="C32" s="101" t="str">
        <f>VLOOKUP(A32,'[1]MFSA List'!$A$2:$B$152,2,FALSE)</f>
        <v>XTB F10 FLT Jun-20</v>
      </c>
      <c r="D32" s="102"/>
      <c r="E32" s="7"/>
      <c r="F32" s="25" t="str">
        <f>VLOOKUP(A32,'[1]MFSA List'!$A$2:$I$152,6,FALSE)</f>
        <v>n/a</v>
      </c>
      <c r="G32" s="26">
        <f>VLOOKUP(A32,'[1]MFSA List'!$A$2:$J$184,8,FALSE)/1000000</f>
        <v>3.6360000000000001</v>
      </c>
      <c r="H32" s="25">
        <f>VLOOKUP(A32,'[1]MFSA List'!$A$2:$N$147,14,FALSE)/1000000</f>
        <v>0.50531000000000004</v>
      </c>
      <c r="I32" s="26">
        <f>VLOOKUP(A32,'[1]MFSA List'!$A$2:$R$147,18,FALSE)/1000000</f>
        <v>0.505</v>
      </c>
      <c r="J32" s="27">
        <f>VLOOKUP(A32,[1]IRESS!$A$10:$F$875,5,FALSE)</f>
        <v>167470.70000000001</v>
      </c>
      <c r="K32" s="28">
        <f>VLOOKUP(A32,[1]IRESS!$A$11:$G$684,7,FALSE)</f>
        <v>1658</v>
      </c>
      <c r="L32" s="27">
        <f>VLOOKUP(A32,[1]IRESS!$A$10:$F$875,4,FALSE)</f>
        <v>8</v>
      </c>
      <c r="M32" s="29">
        <f t="shared" si="0"/>
        <v>4.6059048404840486E-2</v>
      </c>
      <c r="N32" s="30">
        <f>_xlfn.IFNA(VLOOKUP(A32,[1]Spreads!$A:$G,2,FALSE),"n/a")</f>
        <v>8.6644890380762609E-4</v>
      </c>
      <c r="O32" s="28">
        <f>IFERROR(VLOOKUP($A32,[1]Spreads!$A:$G,5,FALSE)/1000,"-")</f>
        <v>562.84822953333298</v>
      </c>
      <c r="P32" s="27">
        <f>IFERROR(VLOOKUP($A32,[1]Spreads!$A:$G,6,FALSE)/1000,"-")</f>
        <v>42.557911399999995</v>
      </c>
      <c r="R32" s="32">
        <f>VLOOKUP($A32,[1]IRESS!$A$11:$AE$696,6,FALSE)/100</f>
        <v>100.97</v>
      </c>
      <c r="S32" s="33">
        <f>VLOOKUP($A32,[1]IRESS!$A$11:$AE$696,21,FALSE)/100</f>
        <v>101.95</v>
      </c>
      <c r="T32" s="32">
        <f>VLOOKUP($A32,[1]IRESS!$A$11:$AE$696,22,FALSE)/100</f>
        <v>100.92</v>
      </c>
      <c r="V32" s="34">
        <f>IFERROR((VLOOKUP($A32,[1]IRESS!$A$11:$AE$696,20,FALSE)/100)/R32,"n/a")</f>
        <v>2.592659205704665E-2</v>
      </c>
      <c r="W32" s="35">
        <f>IFERROR(VLOOKUP($A32,[1]Morningstar!$A$2:$F$477,3,FALSE),"n/a")</f>
        <v>-6.4000000000000003E-3</v>
      </c>
      <c r="X32" s="34">
        <f>IFERROR(VLOOKUP($A32,[1]Morningstar!$A$2:$F$477,4,FALSE),"n/a")</f>
        <v>2.1399999999999999E-2</v>
      </c>
      <c r="Y32" s="35" t="str">
        <f>IFERROR(VLOOKUP($A32,[1]Morningstar!$A$2:$F$477,5,FALSE),"n/a")</f>
        <v>n/a</v>
      </c>
      <c r="Z32" s="34" t="str">
        <f>IFERROR(VLOOKUP($A32,[1]Morningstar!$A$2:$F$477,6,FALSE),"n/a")</f>
        <v>n/a</v>
      </c>
    </row>
    <row r="33" spans="1:26">
      <c r="A33" s="21" t="s">
        <v>263</v>
      </c>
      <c r="B33" s="22" t="s">
        <v>43</v>
      </c>
      <c r="C33" s="46" t="str">
        <f>VLOOKUP(A33,'[1]MFSA List'!$A$2:$B$152,2,FALSE)</f>
        <v>XTB F11 FLT Jul-20</v>
      </c>
      <c r="D33" s="24"/>
      <c r="E33" s="7"/>
      <c r="F33" s="25" t="str">
        <f>VLOOKUP(A33,'[1]MFSA List'!$A$2:$I$152,6,FALSE)</f>
        <v>n/a</v>
      </c>
      <c r="G33" s="26">
        <f>VLOOKUP(A33,'[1]MFSA List'!$A$2:$J$184,8,FALSE)/1000000</f>
        <v>6.7069200000000002</v>
      </c>
      <c r="H33" s="25">
        <f>VLOOKUP(A33,'[1]MFSA List'!$A$2:$N$147,14,FALSE)/1000000</f>
        <v>9.9000000000000008E-3</v>
      </c>
      <c r="I33" s="26">
        <f>VLOOKUP(A33,'[1]MFSA List'!$A$2:$R$147,18,FALSE)/1000000</f>
        <v>0</v>
      </c>
      <c r="J33" s="27">
        <f>VLOOKUP(A33,[1]IRESS!$A$10:$F$875,5,FALSE)</f>
        <v>349212.77</v>
      </c>
      <c r="K33" s="28">
        <f>VLOOKUP(A33,[1]IRESS!$A$11:$G$684,7,FALSE)</f>
        <v>3439</v>
      </c>
      <c r="L33" s="27">
        <f>VLOOKUP(A33,[1]IRESS!$A$10:$F$875,4,FALSE)</f>
        <v>12</v>
      </c>
      <c r="M33" s="29">
        <f t="shared" si="0"/>
        <v>5.2067531743333756E-2</v>
      </c>
      <c r="N33" s="30">
        <f>_xlfn.IFNA(VLOOKUP(A33,[1]Spreads!$A:$G,2,FALSE),"n/a")</f>
        <v>9.8475045091466905E-4</v>
      </c>
      <c r="O33" s="28">
        <f>IFERROR(VLOOKUP($A33,[1]Spreads!$A:$G,5,FALSE)/1000,"-")</f>
        <v>785.93895476666603</v>
      </c>
      <c r="P33" s="27">
        <f>IFERROR(VLOOKUP($A33,[1]Spreads!$A:$G,6,FALSE)/1000,"-")</f>
        <v>195.6306065</v>
      </c>
      <c r="R33" s="32">
        <f>VLOOKUP($A33,[1]IRESS!$A$11:$AE$696,6,FALSE)/100</f>
        <v>101.62</v>
      </c>
      <c r="S33" s="33">
        <f>VLOOKUP($A33,[1]IRESS!$A$11:$AE$696,21,FALSE)/100</f>
        <v>102.21</v>
      </c>
      <c r="T33" s="32">
        <f>VLOOKUP($A33,[1]IRESS!$A$11:$AE$696,22,FALSE)/100</f>
        <v>101.16</v>
      </c>
      <c r="V33" s="34">
        <f>IFERROR((VLOOKUP($A33,[1]IRESS!$A$11:$AE$696,20,FALSE)/100)/R33,"n/a")</f>
        <v>2.6693997244636881E-2</v>
      </c>
      <c r="W33" s="35">
        <f>IFERROR(VLOOKUP($A33,[1]Morningstar!$A$2:$F$477,3,FALSE),"n/a")</f>
        <v>1E-3</v>
      </c>
      <c r="X33" s="34">
        <f>IFERROR(VLOOKUP($A33,[1]Morningstar!$A$2:$F$477,4,FALSE),"n/a")</f>
        <v>2.3199999999999998E-2</v>
      </c>
      <c r="Y33" s="35" t="str">
        <f>IFERROR(VLOOKUP($A33,[1]Morningstar!$A$2:$F$477,5,FALSE),"n/a")</f>
        <v>n/a</v>
      </c>
      <c r="Z33" s="34" t="str">
        <f>IFERROR(VLOOKUP($A33,[1]Morningstar!$A$2:$F$477,6,FALSE),"n/a")</f>
        <v>n/a</v>
      </c>
    </row>
    <row r="34" spans="1:26">
      <c r="A34" s="21" t="s">
        <v>264</v>
      </c>
      <c r="B34" s="22" t="s">
        <v>43</v>
      </c>
      <c r="C34" s="46" t="str">
        <f>VLOOKUP(A34,'[1]MFSA List'!$A$2:$B$152,2,FALSE)</f>
        <v>XTB GP1 3.66% Aug-26</v>
      </c>
      <c r="D34" s="24"/>
      <c r="E34" s="7"/>
      <c r="F34" s="25" t="str">
        <f>VLOOKUP(A34,'[1]MFSA List'!$A$2:$I$152,6,FALSE)</f>
        <v>n/a</v>
      </c>
      <c r="G34" s="26">
        <f>VLOOKUP(A34,'[1]MFSA List'!$A$2:$J$184,8,FALSE)/1000000</f>
        <v>3.1645560000000001</v>
      </c>
      <c r="H34" s="25">
        <f>VLOOKUP(A34,'[1]MFSA List'!$A$2:$N$147,14,FALSE)/1000000</f>
        <v>0.53724499999999997</v>
      </c>
      <c r="I34" s="26">
        <f>VLOOKUP(A34,'[1]MFSA List'!$A$2:$R$147,18,FALSE)/1000000</f>
        <v>0.51539999999999997</v>
      </c>
      <c r="J34" s="27">
        <f>VLOOKUP(A34,[1]IRESS!$A$10:$F$875,5,FALSE)</f>
        <v>503633.29999999993</v>
      </c>
      <c r="K34" s="28">
        <f>VLOOKUP(A34,[1]IRESS!$A$11:$G$684,7,FALSE)</f>
        <v>4923</v>
      </c>
      <c r="L34" s="27">
        <f>VLOOKUP(A34,[1]IRESS!$A$10:$F$875,4,FALSE)</f>
        <v>26</v>
      </c>
      <c r="M34" s="29">
        <f t="shared" si="0"/>
        <v>0.15914817118104402</v>
      </c>
      <c r="N34" s="30">
        <f>_xlfn.IFNA(VLOOKUP(A34,[1]Spreads!$A:$G,2,FALSE),"n/a")</f>
        <v>4.5176128009025698E-3</v>
      </c>
      <c r="O34" s="28">
        <f>IFERROR(VLOOKUP($A34,[1]Spreads!$A:$G,5,FALSE)/1000,"-")</f>
        <v>162.12728475</v>
      </c>
      <c r="P34" s="27">
        <f>IFERROR(VLOOKUP($A34,[1]Spreads!$A:$G,6,FALSE)/1000,"-")</f>
        <v>121.937813041666</v>
      </c>
      <c r="R34" s="32">
        <f>VLOOKUP($A34,[1]IRESS!$A$11:$AE$696,6,FALSE)/100</f>
        <v>103.08</v>
      </c>
      <c r="S34" s="33">
        <f>VLOOKUP($A34,[1]IRESS!$A$11:$AE$696,21,FALSE)/100</f>
        <v>103.48</v>
      </c>
      <c r="T34" s="32">
        <f>VLOOKUP($A34,[1]IRESS!$A$11:$AE$696,22,FALSE)/100</f>
        <v>100.44</v>
      </c>
      <c r="V34" s="34">
        <f>IFERROR((VLOOKUP($A34,[1]IRESS!$A$11:$AE$696,20,FALSE)/100)/R34,"n/a")</f>
        <v>3.5477299185098954E-2</v>
      </c>
      <c r="W34" s="35">
        <f>IFERROR(VLOOKUP($A34,[1]Morningstar!$A$2:$F$477,3,FALSE),"n/a")</f>
        <v>1.0999999999999999E-2</v>
      </c>
      <c r="X34" s="34" t="str">
        <f>IFERROR(VLOOKUP($A34,[1]Morningstar!$A$2:$F$477,4,FALSE),"n/a")</f>
        <v>n/a</v>
      </c>
      <c r="Y34" s="35" t="str">
        <f>IFERROR(VLOOKUP($A34,[1]Morningstar!$A$2:$F$477,5,FALSE),"n/a")</f>
        <v>n/a</v>
      </c>
      <c r="Z34" s="34" t="str">
        <f>IFERROR(VLOOKUP($A34,[1]Morningstar!$A$2:$F$477,6,FALSE),"n/a")</f>
        <v>n/a</v>
      </c>
    </row>
    <row r="35" spans="1:26">
      <c r="A35" s="21" t="s">
        <v>265</v>
      </c>
      <c r="B35" s="22" t="s">
        <v>43</v>
      </c>
      <c r="C35" s="46" t="str">
        <f>VLOOKUP(A35,'[1]MFSA List'!$A$2:$B$152,2,FALSE)</f>
        <v>XTB GPT 6.75% Jan-19</v>
      </c>
      <c r="D35" s="24"/>
      <c r="E35" s="7"/>
      <c r="F35" s="25" t="str">
        <f>VLOOKUP(A35,'[1]MFSA List'!$A$2:$I$152,6,FALSE)</f>
        <v>n/a</v>
      </c>
      <c r="G35" s="26">
        <f>VLOOKUP(A35,'[1]MFSA List'!$A$2:$J$184,8,FALSE)/1000000</f>
        <v>0.53010000000000002</v>
      </c>
      <c r="H35" s="25">
        <f>VLOOKUP(A35,'[1]MFSA List'!$A$2:$N$147,14,FALSE)/1000000</f>
        <v>7.5000000000000002E-4</v>
      </c>
      <c r="I35" s="26">
        <f>VLOOKUP(A35,'[1]MFSA List'!$A$2:$R$147,18,FALSE)/1000000</f>
        <v>0</v>
      </c>
      <c r="J35" s="27">
        <f>VLOOKUP(A35,[1]IRESS!$A$10:$F$875,5,FALSE)</f>
        <v>1589.25</v>
      </c>
      <c r="K35" s="28">
        <f>VLOOKUP(A35,[1]IRESS!$A$11:$G$684,7,FALSE)</f>
        <v>15</v>
      </c>
      <c r="L35" s="27">
        <f>VLOOKUP(A35,[1]IRESS!$A$10:$F$875,4,FALSE)</f>
        <v>1</v>
      </c>
      <c r="M35" s="29">
        <f t="shared" si="0"/>
        <v>2.9980192416525185E-3</v>
      </c>
      <c r="N35" s="30">
        <f>_xlfn.IFNA(VLOOKUP(A35,[1]Spreads!$A:$G,2,FALSE),"n/a")</f>
        <v>2.3573787260073998E-3</v>
      </c>
      <c r="O35" s="28">
        <f>IFERROR(VLOOKUP($A35,[1]Spreads!$A:$G,5,FALSE)/1000,"-")</f>
        <v>422.62613775223201</v>
      </c>
      <c r="P35" s="27">
        <f>IFERROR(VLOOKUP($A35,[1]Spreads!$A:$G,6,FALSE)/1000,"-")</f>
        <v>212.36099999999999</v>
      </c>
      <c r="R35" s="32">
        <f>VLOOKUP($A35,[1]IRESS!$A$11:$AE$696,6,FALSE)/100</f>
        <v>105.95</v>
      </c>
      <c r="S35" s="33">
        <f>VLOOKUP($A35,[1]IRESS!$A$11:$AE$696,21,FALSE)/100</f>
        <v>110.21</v>
      </c>
      <c r="T35" s="32">
        <f>VLOOKUP($A35,[1]IRESS!$A$11:$AE$696,22,FALSE)/100</f>
        <v>105.29</v>
      </c>
      <c r="V35" s="34">
        <f>IFERROR((VLOOKUP($A35,[1]IRESS!$A$11:$AE$696,20,FALSE)/100)/R35,"n/a")</f>
        <v>6.3709296838131188E-2</v>
      </c>
      <c r="W35" s="35">
        <f>IFERROR(VLOOKUP($A35,[1]Morningstar!$A$2:$F$477,3,FALSE),"n/a")</f>
        <v>6.1999999999999998E-3</v>
      </c>
      <c r="X35" s="34">
        <f>IFERROR(VLOOKUP($A35,[1]Morningstar!$A$2:$F$477,4,FALSE),"n/a")</f>
        <v>-1.11E-2</v>
      </c>
      <c r="Y35" s="35" t="str">
        <f>IFERROR(VLOOKUP($A35,[1]Morningstar!$A$2:$F$477,5,FALSE),"n/a")</f>
        <v>n/a</v>
      </c>
      <c r="Z35" s="34" t="str">
        <f>IFERROR(VLOOKUP($A35,[1]Morningstar!$A$2:$F$477,6,FALSE),"n/a")</f>
        <v>n/a</v>
      </c>
    </row>
    <row r="36" spans="1:26">
      <c r="A36" s="21" t="s">
        <v>266</v>
      </c>
      <c r="B36" s="22" t="s">
        <v>43</v>
      </c>
      <c r="C36" s="46" t="str">
        <f>VLOOKUP(A36,'[1]MFSA List'!$A$2:$B$152,2,FALSE)</f>
        <v>XTB IPL 5.75% Feb-19</v>
      </c>
      <c r="D36" s="24"/>
      <c r="E36" s="7"/>
      <c r="F36" s="25" t="str">
        <f>VLOOKUP(A36,'[1]MFSA List'!$A$2:$I$152,6,FALSE)</f>
        <v>n/a</v>
      </c>
      <c r="G36" s="26">
        <f>VLOOKUP(A36,'[1]MFSA List'!$A$2:$J$184,8,FALSE)/1000000</f>
        <v>3.2512799999999999</v>
      </c>
      <c r="H36" s="25">
        <f>VLOOKUP(A36,'[1]MFSA List'!$A$2:$N$147,14,FALSE)/1000000</f>
        <v>1.2710000000000001E-2</v>
      </c>
      <c r="I36" s="26">
        <f>VLOOKUP(A36,'[1]MFSA List'!$A$2:$R$147,18,FALSE)/1000000</f>
        <v>0</v>
      </c>
      <c r="J36" s="27">
        <f>VLOOKUP(A36,[1]IRESS!$A$10:$F$875,5,FALSE)</f>
        <v>41387.53</v>
      </c>
      <c r="K36" s="28">
        <f>VLOOKUP(A36,[1]IRESS!$A$11:$G$684,7,FALSE)</f>
        <v>396</v>
      </c>
      <c r="L36" s="27">
        <f>VLOOKUP(A36,[1]IRESS!$A$10:$F$875,4,FALSE)</f>
        <v>4</v>
      </c>
      <c r="M36" s="29">
        <f t="shared" si="0"/>
        <v>1.2729611107010161E-2</v>
      </c>
      <c r="N36" s="30">
        <f>_xlfn.IFNA(VLOOKUP(A36,[1]Spreads!$A:$G,2,FALSE),"n/a")</f>
        <v>2.3881628745832002E-3</v>
      </c>
      <c r="O36" s="28">
        <f>IFERROR(VLOOKUP($A36,[1]Spreads!$A:$G,5,FALSE)/1000,"-")</f>
        <v>410.01924023169795</v>
      </c>
      <c r="P36" s="27">
        <f>IFERROR(VLOOKUP($A36,[1]Spreads!$A:$G,6,FALSE)/1000,"-")</f>
        <v>209.51444210683101</v>
      </c>
      <c r="R36" s="32">
        <f>VLOOKUP($A36,[1]IRESS!$A$11:$AE$696,6,FALSE)/100</f>
        <v>104.88</v>
      </c>
      <c r="S36" s="33">
        <f>VLOOKUP($A36,[1]IRESS!$A$11:$AE$696,21,FALSE)/100</f>
        <v>107.87</v>
      </c>
      <c r="T36" s="32">
        <f>VLOOKUP($A36,[1]IRESS!$A$11:$AE$696,22,FALSE)/100</f>
        <v>103.75</v>
      </c>
      <c r="V36" s="34">
        <f>IFERROR((VLOOKUP($A36,[1]IRESS!$A$11:$AE$696,20,FALSE)/100)/R36,"n/a")</f>
        <v>5.4824561403508776E-2</v>
      </c>
      <c r="W36" s="35">
        <f>IFERROR(VLOOKUP($A36,[1]Morningstar!$A$2:$F$477,3,FALSE),"n/a")</f>
        <v>5.7000000000000002E-3</v>
      </c>
      <c r="X36" s="34">
        <f>IFERROR(VLOOKUP($A36,[1]Morningstar!$A$2:$F$477,4,FALSE),"n/a")</f>
        <v>2.98E-2</v>
      </c>
      <c r="Y36" s="35" t="str">
        <f>IFERROR(VLOOKUP($A36,[1]Morningstar!$A$2:$F$477,5,FALSE),"n/a")</f>
        <v>n/a</v>
      </c>
      <c r="Z36" s="34" t="str">
        <f>IFERROR(VLOOKUP($A36,[1]Morningstar!$A$2:$F$477,6,FALSE),"n/a")</f>
        <v>n/a</v>
      </c>
    </row>
    <row r="37" spans="1:26">
      <c r="A37" s="21" t="s">
        <v>267</v>
      </c>
      <c r="B37" s="22" t="s">
        <v>43</v>
      </c>
      <c r="C37" s="46" t="str">
        <f>VLOOKUP(A37,'[1]MFSA List'!$A$2:$B$152,2,FALSE)</f>
        <v>XTB LL1 6.00% May-20</v>
      </c>
      <c r="D37" s="24"/>
      <c r="E37" s="7"/>
      <c r="F37" s="25" t="str">
        <f>VLOOKUP(A37,'[1]MFSA List'!$A$2:$I$152,6,FALSE)</f>
        <v>n/a</v>
      </c>
      <c r="G37" s="26">
        <f>VLOOKUP(A37,'[1]MFSA List'!$A$2:$J$184,8,FALSE)/1000000</f>
        <v>19.588954000000001</v>
      </c>
      <c r="H37" s="25">
        <f>VLOOKUP(A37,'[1]MFSA List'!$A$2:$N$147,14,FALSE)/1000000</f>
        <v>-7.1526000000000006E-2</v>
      </c>
      <c r="I37" s="26">
        <f>VLOOKUP(A37,'[1]MFSA List'!$A$2:$R$147,18,FALSE)/1000000</f>
        <v>0</v>
      </c>
      <c r="J37" s="27">
        <f>VLOOKUP(A37,[1]IRESS!$A$10:$F$875,5,FALSE)</f>
        <v>435964.63</v>
      </c>
      <c r="K37" s="28">
        <f>VLOOKUP(A37,[1]IRESS!$A$11:$G$684,7,FALSE)</f>
        <v>4079</v>
      </c>
      <c r="L37" s="27">
        <f>VLOOKUP(A37,[1]IRESS!$A$10:$F$875,4,FALSE)</f>
        <v>48</v>
      </c>
      <c r="M37" s="29">
        <f t="shared" si="0"/>
        <v>2.225563600792569E-2</v>
      </c>
      <c r="N37" s="30">
        <f>_xlfn.IFNA(VLOOKUP(A37,[1]Spreads!$A:$G,2,FALSE),"n/a")</f>
        <v>4.3812665632721095E-3</v>
      </c>
      <c r="O37" s="28">
        <f>IFERROR(VLOOKUP($A37,[1]Spreads!$A:$G,5,FALSE)/1000,"-")</f>
        <v>220.40650427617999</v>
      </c>
      <c r="P37" s="27">
        <f>IFERROR(VLOOKUP($A37,[1]Spreads!$A:$G,6,FALSE)/1000,"-")</f>
        <v>217.127951414329</v>
      </c>
      <c r="R37" s="32">
        <f>VLOOKUP($A37,[1]IRESS!$A$11:$AE$696,6,FALSE)/100</f>
        <v>106.81</v>
      </c>
      <c r="S37" s="33">
        <f>VLOOKUP($A37,[1]IRESS!$A$11:$AE$696,21,FALSE)/100</f>
        <v>111.23</v>
      </c>
      <c r="T37" s="32">
        <f>VLOOKUP($A37,[1]IRESS!$A$11:$AE$696,22,FALSE)/100</f>
        <v>106.27</v>
      </c>
      <c r="V37" s="34">
        <f>IFERROR((VLOOKUP($A37,[1]IRESS!$A$11:$AE$696,20,FALSE)/100)/R37,"n/a")</f>
        <v>5.6174515494803859E-2</v>
      </c>
      <c r="W37" s="35">
        <f>IFERROR(VLOOKUP($A37,[1]Morningstar!$A$2:$F$477,3,FALSE),"n/a")</f>
        <v>-3.0000000000000001E-3</v>
      </c>
      <c r="X37" s="34">
        <f>IFERROR(VLOOKUP($A37,[1]Morningstar!$A$2:$F$477,4,FALSE),"n/a")</f>
        <v>2.8899999999999999E-2</v>
      </c>
      <c r="Y37" s="35">
        <f>IFERROR(VLOOKUP($A37,[1]Morningstar!$A$2:$F$477,5,FALSE),"n/a")</f>
        <v>4.4299999999999999E-2</v>
      </c>
      <c r="Z37" s="34" t="str">
        <f>IFERROR(VLOOKUP($A37,[1]Morningstar!$A$2:$F$477,6,FALSE),"n/a")</f>
        <v>n/a</v>
      </c>
    </row>
    <row r="38" spans="1:26">
      <c r="A38" s="21" t="s">
        <v>268</v>
      </c>
      <c r="B38" s="22" t="s">
        <v>43</v>
      </c>
      <c r="C38" s="46" t="str">
        <f>VLOOKUP(A38,'[1]MFSA List'!$A$2:$B$152,2,FALSE)</f>
        <v>XTB LLC 5.50% Nov-18</v>
      </c>
      <c r="D38" s="24"/>
      <c r="E38" s="7"/>
      <c r="F38" s="25" t="str">
        <f>VLOOKUP(A38,'[1]MFSA List'!$A$2:$I$152,6,FALSE)</f>
        <v>n/a</v>
      </c>
      <c r="G38" s="26">
        <f>VLOOKUP(A38,'[1]MFSA List'!$A$2:$J$184,8,FALSE)/1000000</f>
        <v>6.1632160000000002</v>
      </c>
      <c r="H38" s="25">
        <f>VLOOKUP(A38,'[1]MFSA List'!$A$2:$N$147,14,FALSE)/1000000</f>
        <v>2.4160000000000002E-3</v>
      </c>
      <c r="I38" s="26">
        <f>VLOOKUP(A38,'[1]MFSA List'!$A$2:$R$147,18,FALSE)/1000000</f>
        <v>-7.4243871495127682E-16</v>
      </c>
      <c r="J38" s="27">
        <f>VLOOKUP(A38,[1]IRESS!$A$10:$F$875,5,FALSE)</f>
        <v>426910.41</v>
      </c>
      <c r="K38" s="28">
        <f>VLOOKUP(A38,[1]IRESS!$A$11:$G$684,7,FALSE)</f>
        <v>4187</v>
      </c>
      <c r="L38" s="27">
        <f>VLOOKUP(A38,[1]IRESS!$A$10:$F$875,4,FALSE)</f>
        <v>17</v>
      </c>
      <c r="M38" s="29">
        <f t="shared" si="0"/>
        <v>6.9267474967614304E-2</v>
      </c>
      <c r="N38" s="30">
        <f>_xlfn.IFNA(VLOOKUP(A38,[1]Spreads!$A:$G,2,FALSE),"n/a")</f>
        <v>3.4089275612819497E-3</v>
      </c>
      <c r="O38" s="28">
        <f>IFERROR(VLOOKUP($A38,[1]Spreads!$A:$G,5,FALSE)/1000,"-")</f>
        <v>203.97385013995898</v>
      </c>
      <c r="P38" s="27">
        <f>IFERROR(VLOOKUP($A38,[1]Spreads!$A:$G,6,FALSE)/1000,"-")</f>
        <v>259.71693977899901</v>
      </c>
      <c r="R38" s="32">
        <f>VLOOKUP($A38,[1]IRESS!$A$11:$AE$696,6,FALSE)/100</f>
        <v>102.04</v>
      </c>
      <c r="S38" s="33">
        <f>VLOOKUP($A38,[1]IRESS!$A$11:$AE$696,21,FALSE)/100</f>
        <v>106.39</v>
      </c>
      <c r="T38" s="32">
        <f>VLOOKUP($A38,[1]IRESS!$A$11:$AE$696,22,FALSE)/100</f>
        <v>101.72</v>
      </c>
      <c r="V38" s="34">
        <f>IFERROR((VLOOKUP($A38,[1]IRESS!$A$11:$AE$696,20,FALSE)/100)/R38,"n/a")</f>
        <v>5.3900431203449624E-2</v>
      </c>
      <c r="W38" s="35">
        <f>IFERROR(VLOOKUP($A38,[1]Morningstar!$A$2:$F$477,3,FALSE),"n/a")</f>
        <v>2.9999999999999997E-4</v>
      </c>
      <c r="X38" s="34">
        <f>IFERROR(VLOOKUP($A38,[1]Morningstar!$A$2:$F$477,4,FALSE),"n/a")</f>
        <v>2.4299999999999999E-2</v>
      </c>
      <c r="Y38" s="35">
        <f>IFERROR(VLOOKUP($A38,[1]Morningstar!$A$2:$F$477,5,FALSE),"n/a")</f>
        <v>3.5799999999999998E-2</v>
      </c>
      <c r="Z38" s="34" t="str">
        <f>IFERROR(VLOOKUP($A38,[1]Morningstar!$A$2:$F$477,6,FALSE),"n/a")</f>
        <v>n/a</v>
      </c>
    </row>
    <row r="39" spans="1:26">
      <c r="A39" s="21" t="s">
        <v>269</v>
      </c>
      <c r="B39" s="22" t="s">
        <v>43</v>
      </c>
      <c r="C39" s="46" t="str">
        <f>VLOOKUP(A39,'[1]MFSA List'!$A$2:$B$152,2,FALSE)</f>
        <v>XTB MG2 3.50% Sep-23</v>
      </c>
      <c r="D39" s="24"/>
      <c r="E39" s="7"/>
      <c r="F39" s="25" t="str">
        <f>VLOOKUP(A39,'[1]MFSA List'!$A$2:$I$152,6,FALSE)</f>
        <v>n/a</v>
      </c>
      <c r="G39" s="26">
        <f>VLOOKUP(A39,'[1]MFSA List'!$A$2:$J$184,8,FALSE)/1000000</f>
        <v>4.1108520000000004</v>
      </c>
      <c r="H39" s="25">
        <f>VLOOKUP(A39,'[1]MFSA List'!$A$2:$N$147,14,FALSE)/1000000</f>
        <v>2.3315999999999535E-2</v>
      </c>
      <c r="I39" s="26">
        <f>VLOOKUP(A39,'[1]MFSA List'!$A$2:$R$147,18,FALSE)/1000000</f>
        <v>0</v>
      </c>
      <c r="J39" s="27">
        <f>VLOOKUP(A39,[1]IRESS!$A$10:$F$875,5,FALSE)</f>
        <v>1053669.71</v>
      </c>
      <c r="K39" s="28">
        <f>VLOOKUP(A39,[1]IRESS!$A$11:$G$684,7,FALSE)</f>
        <v>10393</v>
      </c>
      <c r="L39" s="27">
        <f>VLOOKUP(A39,[1]IRESS!$A$10:$F$875,4,FALSE)</f>
        <v>28</v>
      </c>
      <c r="M39" s="29">
        <f t="shared" si="0"/>
        <v>0.25631419228909236</v>
      </c>
      <c r="N39" s="30">
        <f>_xlfn.IFNA(VLOOKUP(A39,[1]Spreads!$A:$G,2,FALSE),"n/a")</f>
        <v>3.7088639290067597E-3</v>
      </c>
      <c r="O39" s="28">
        <f>IFERROR(VLOOKUP($A39,[1]Spreads!$A:$G,5,FALSE)/1000,"-")</f>
        <v>187.65510706785699</v>
      </c>
      <c r="P39" s="27">
        <f>IFERROR(VLOOKUP($A39,[1]Spreads!$A:$G,6,FALSE)/1000,"-")</f>
        <v>90.104537383333295</v>
      </c>
      <c r="R39" s="32">
        <f>VLOOKUP($A39,[1]IRESS!$A$11:$AE$696,6,FALSE)/100</f>
        <v>102.25</v>
      </c>
      <c r="S39" s="33">
        <f>VLOOKUP($A39,[1]IRESS!$A$11:$AE$696,21,FALSE)/100</f>
        <v>103.33</v>
      </c>
      <c r="T39" s="32">
        <f>VLOOKUP($A39,[1]IRESS!$A$11:$AE$696,22,FALSE)/100</f>
        <v>100.72</v>
      </c>
      <c r="V39" s="34">
        <f>IFERROR((VLOOKUP($A39,[1]IRESS!$A$11:$AE$696,20,FALSE)/100)/R39,"n/a")</f>
        <v>3.4229828850855744E-2</v>
      </c>
      <c r="W39" s="35">
        <f>IFERROR(VLOOKUP($A39,[1]Morningstar!$A$2:$F$477,3,FALSE),"n/a")</f>
        <v>1.04E-2</v>
      </c>
      <c r="X39" s="34" t="str">
        <f>IFERROR(VLOOKUP($A39,[1]Morningstar!$A$2:$F$477,4,FALSE),"n/a")</f>
        <v>n/a</v>
      </c>
      <c r="Y39" s="35" t="str">
        <f>IFERROR(VLOOKUP($A39,[1]Morningstar!$A$2:$F$477,5,FALSE),"n/a")</f>
        <v>n/a</v>
      </c>
      <c r="Z39" s="34" t="str">
        <f>IFERROR(VLOOKUP($A39,[1]Morningstar!$A$2:$F$477,6,FALSE),"n/a")</f>
        <v>n/a</v>
      </c>
    </row>
    <row r="40" spans="1:26">
      <c r="A40" s="21" t="s">
        <v>270</v>
      </c>
      <c r="B40" s="22" t="s">
        <v>43</v>
      </c>
      <c r="C40" s="46" t="str">
        <f>VLOOKUP(A40,'[1]MFSA List'!$A$2:$B$152,2,FALSE)</f>
        <v>XTB MGR 5.75% Sep-20</v>
      </c>
      <c r="D40" s="24"/>
      <c r="E40" s="7"/>
      <c r="F40" s="25" t="str">
        <f>VLOOKUP(A40,'[1]MFSA List'!$A$2:$I$152,6,FALSE)</f>
        <v>n/a</v>
      </c>
      <c r="G40" s="26">
        <f>VLOOKUP(A40,'[1]MFSA List'!$A$2:$J$184,8,FALSE)/1000000</f>
        <v>7.8458399999999999</v>
      </c>
      <c r="H40" s="25">
        <f>VLOOKUP(A40,'[1]MFSA List'!$A$2:$N$147,14,FALSE)/1000000</f>
        <v>3.0960000000000001E-2</v>
      </c>
      <c r="I40" s="26">
        <f>VLOOKUP(A40,'[1]MFSA List'!$A$2:$R$147,18,FALSE)/1000000</f>
        <v>0</v>
      </c>
      <c r="J40" s="27">
        <f>VLOOKUP(A40,[1]IRESS!$A$10:$F$875,5,FALSE)</f>
        <v>92398.13</v>
      </c>
      <c r="K40" s="28">
        <f>VLOOKUP(A40,[1]IRESS!$A$11:$G$684,7,FALSE)</f>
        <v>849</v>
      </c>
      <c r="L40" s="27">
        <f>VLOOKUP(A40,[1]IRESS!$A$10:$F$875,4,FALSE)</f>
        <v>5</v>
      </c>
      <c r="M40" s="29">
        <f>IFERROR(+J40/(G40*1000000),"n/a")</f>
        <v>1.1776703323034883E-2</v>
      </c>
      <c r="N40" s="30">
        <f>_xlfn.IFNA(VLOOKUP(A40,[1]Spreads!$A:$G,2,FALSE),"n/a")</f>
        <v>5.7053049818641902E-3</v>
      </c>
      <c r="O40" s="28">
        <f>IFERROR(VLOOKUP($A40,[1]Spreads!$A:$G,5,FALSE)/1000,"-")</f>
        <v>216.66192367199298</v>
      </c>
      <c r="P40" s="27">
        <f>IFERROR(VLOOKUP($A40,[1]Spreads!$A:$G,6,FALSE)/1000,"-")</f>
        <v>217.68613701281399</v>
      </c>
      <c r="R40" s="32">
        <f>VLOOKUP($A40,[1]IRESS!$A$11:$AE$696,6,FALSE)/100</f>
        <v>109</v>
      </c>
      <c r="S40" s="33">
        <f>VLOOKUP($A40,[1]IRESS!$A$11:$AE$696,21,FALSE)/100</f>
        <v>112.48</v>
      </c>
      <c r="T40" s="32">
        <f>VLOOKUP($A40,[1]IRESS!$A$11:$AE$696,22,FALSE)/100</f>
        <v>107.64</v>
      </c>
      <c r="V40" s="34">
        <f>IFERROR((VLOOKUP($A40,[1]IRESS!$A$11:$AE$696,20,FALSE)/100)/R40,"n/a")</f>
        <v>5.2752293577981654E-2</v>
      </c>
      <c r="W40" s="35">
        <f>IFERROR(VLOOKUP($A40,[1]Morningstar!$A$2:$F$477,3,FALSE),"n/a")</f>
        <v>3.5999999999999999E-3</v>
      </c>
      <c r="X40" s="34">
        <f>IFERROR(VLOOKUP($A40,[1]Morningstar!$A$2:$F$477,4,FALSE),"n/a")</f>
        <v>2.75E-2</v>
      </c>
      <c r="Y40" s="35">
        <f>IFERROR(VLOOKUP($A40,[1]Morningstar!$A$2:$F$477,5,FALSE),"n/a")</f>
        <v>3.2599999999999997E-2</v>
      </c>
      <c r="Z40" s="34" t="str">
        <f>IFERROR(VLOOKUP($A40,[1]Morningstar!$A$2:$F$477,6,FALSE),"n/a")</f>
        <v>n/a</v>
      </c>
    </row>
    <row r="41" spans="1:26">
      <c r="A41" s="21" t="s">
        <v>271</v>
      </c>
      <c r="B41" s="22" t="s">
        <v>43</v>
      </c>
      <c r="C41" s="46" t="str">
        <f>VLOOKUP(A41,'[1]MFSA List'!$A$2:$B$152,2,FALSE)</f>
        <v>XTB MQG 3.25% Mar-20</v>
      </c>
      <c r="D41" s="24"/>
      <c r="E41" s="7"/>
      <c r="F41" s="25" t="str">
        <f>VLOOKUP(A41,'[1]MFSA List'!$A$2:$I$152,6,FALSE)</f>
        <v>n/a</v>
      </c>
      <c r="G41" s="26">
        <f>VLOOKUP(A41,'[1]MFSA List'!$A$2:$J$184,8,FALSE)/1000000</f>
        <v>1.0266999999999999</v>
      </c>
      <c r="H41" s="25">
        <f>VLOOKUP(A41,'[1]MFSA List'!$A$2:$N$147,14,FALSE)/1000000</f>
        <v>2.2000000000000001E-3</v>
      </c>
      <c r="I41" s="26">
        <f>VLOOKUP(A41,'[1]MFSA List'!$A$2:$R$147,18,FALSE)/1000000</f>
        <v>0</v>
      </c>
      <c r="J41" s="27">
        <f>VLOOKUP(A41,[1]IRESS!$A$10:$F$875,5,FALSE)</f>
        <v>0</v>
      </c>
      <c r="K41" s="28">
        <f>VLOOKUP(A41,[1]IRESS!$A$11:$G$684,7,FALSE)</f>
        <v>0</v>
      </c>
      <c r="L41" s="27">
        <f>VLOOKUP(A41,[1]IRESS!$A$10:$F$875,4,FALSE)</f>
        <v>0</v>
      </c>
      <c r="M41" s="29">
        <f t="shared" ref="M41:M60" si="1">IFERROR(+J41/(G41*1000000),"n/a")</f>
        <v>0</v>
      </c>
      <c r="N41" s="30">
        <f>_xlfn.IFNA(VLOOKUP(A41,[1]Spreads!$A:$G,2,FALSE),"n/a")</f>
        <v>2.4379540689453399E-3</v>
      </c>
      <c r="O41" s="28">
        <f>IFERROR(VLOOKUP($A41,[1]Spreads!$A:$G,5,FALSE)/1000,"-")</f>
        <v>10.242000000000001</v>
      </c>
      <c r="P41" s="27">
        <f>IFERROR(VLOOKUP($A41,[1]Spreads!$A:$G,6,FALSE)/1000,"-")</f>
        <v>9.2402999999999995</v>
      </c>
      <c r="R41" s="32">
        <f>VLOOKUP($A41,[1]IRESS!$A$11:$AE$696,6,FALSE)/100</f>
        <v>101.82</v>
      </c>
      <c r="S41" s="33">
        <f>VLOOKUP($A41,[1]IRESS!$A$11:$AE$696,21,FALSE)/100</f>
        <v>104.23</v>
      </c>
      <c r="T41" s="32">
        <f>VLOOKUP($A41,[1]IRESS!$A$11:$AE$696,22,FALSE)/100</f>
        <v>101.82</v>
      </c>
      <c r="V41" s="34">
        <f>IFERROR((VLOOKUP($A41,[1]IRESS!$A$11:$AE$696,20,FALSE)/100)/R41,"n/a")</f>
        <v>3.191907287369869E-2</v>
      </c>
      <c r="W41" s="35">
        <f>IFERROR(VLOOKUP($A41,[1]Morningstar!$A$2:$F$477,3,FALSE),"n/a")</f>
        <v>0</v>
      </c>
      <c r="X41" s="34">
        <f>IFERROR(VLOOKUP($A41,[1]Morningstar!$A$2:$F$477,4,FALSE),"n/a")</f>
        <v>1.1599999999999999E-2</v>
      </c>
      <c r="Y41" s="35" t="str">
        <f>IFERROR(VLOOKUP($A41,[1]Morningstar!$A$2:$F$477,5,FALSE),"n/a")</f>
        <v>n/a</v>
      </c>
      <c r="Z41" s="34" t="str">
        <f>IFERROR(VLOOKUP($A41,[1]Morningstar!$A$2:$F$477,6,FALSE),"n/a")</f>
        <v>n/a</v>
      </c>
    </row>
    <row r="42" spans="1:26">
      <c r="A42" s="21" t="s">
        <v>272</v>
      </c>
      <c r="B42" s="22" t="s">
        <v>43</v>
      </c>
      <c r="C42" s="46" t="str">
        <f>VLOOKUP(A42,'[1]MFSA List'!$A$2:$B$152,2,FALSE)</f>
        <v>XTB NA1 4.00% Dec-21</v>
      </c>
      <c r="D42" s="24"/>
      <c r="E42" s="7"/>
      <c r="F42" s="25" t="str">
        <f>VLOOKUP(A42,'[1]MFSA List'!$A$2:$I$152,6,FALSE)</f>
        <v>n/a</v>
      </c>
      <c r="G42" s="26">
        <f>VLOOKUP(A42,'[1]MFSA List'!$A$2:$J$184,8,FALSE)/1000000</f>
        <v>5.2565</v>
      </c>
      <c r="H42" s="25">
        <f>VLOOKUP(A42,'[1]MFSA List'!$A$2:$N$147,14,FALSE)/1000000</f>
        <v>0.45365</v>
      </c>
      <c r="I42" s="26">
        <f>VLOOKUP(A42,'[1]MFSA List'!$A$2:$R$147,18,FALSE)/1000000</f>
        <v>0.52564999999999995</v>
      </c>
      <c r="J42" s="27">
        <f>VLOOKUP(A42,[1]IRESS!$A$10:$F$875,5,FALSE)</f>
        <v>118087.66</v>
      </c>
      <c r="K42" s="28">
        <f>VLOOKUP(A42,[1]IRESS!$A$11:$G$684,7,FALSE)</f>
        <v>1124</v>
      </c>
      <c r="L42" s="27">
        <f>VLOOKUP(A42,[1]IRESS!$A$10:$F$875,4,FALSE)</f>
        <v>4</v>
      </c>
      <c r="M42" s="29">
        <f t="shared" si="1"/>
        <v>2.2465073718253591E-2</v>
      </c>
      <c r="N42" s="30">
        <f>_xlfn.IFNA(VLOOKUP(A42,[1]Spreads!$A:$G,2,FALSE),"n/a")</f>
        <v>3.0460265281267301E-3</v>
      </c>
      <c r="O42" s="28">
        <f>IFERROR(VLOOKUP($A42,[1]Spreads!$A:$G,5,FALSE)/1000,"-")</f>
        <v>179.27450120833302</v>
      </c>
      <c r="P42" s="27">
        <f>IFERROR(VLOOKUP($A42,[1]Spreads!$A:$G,6,FALSE)/1000,"-")</f>
        <v>19.596678999999899</v>
      </c>
      <c r="R42" s="32">
        <f>VLOOKUP($A42,[1]IRESS!$A$11:$AE$696,6,FALSE)/100</f>
        <v>105.13</v>
      </c>
      <c r="S42" s="33">
        <f>VLOOKUP($A42,[1]IRESS!$A$11:$AE$696,21,FALSE)/100</f>
        <v>109.04</v>
      </c>
      <c r="T42" s="32">
        <f>VLOOKUP($A42,[1]IRESS!$A$11:$AE$696,22,FALSE)/100</f>
        <v>104.83</v>
      </c>
      <c r="V42" s="34">
        <f>IFERROR((VLOOKUP($A42,[1]IRESS!$A$11:$AE$696,20,FALSE)/100)/R42,"n/a")</f>
        <v>3.8048130885570249E-2</v>
      </c>
      <c r="W42" s="35">
        <f>IFERROR(VLOOKUP($A42,[1]Morningstar!$A$2:$F$477,3,FALSE),"n/a")</f>
        <v>7.7999999999999996E-3</v>
      </c>
      <c r="X42" s="34">
        <f>IFERROR(VLOOKUP($A42,[1]Morningstar!$A$2:$F$477,4,FALSE),"n/a")</f>
        <v>2.4E-2</v>
      </c>
      <c r="Y42" s="35" t="str">
        <f>IFERROR(VLOOKUP($A42,[1]Morningstar!$A$2:$F$477,5,FALSE),"n/a")</f>
        <v>n/a</v>
      </c>
      <c r="Z42" s="34" t="str">
        <f>IFERROR(VLOOKUP($A42,[1]Morningstar!$A$2:$F$477,6,FALSE),"n/a")</f>
        <v>n/a</v>
      </c>
    </row>
    <row r="43" spans="1:26">
      <c r="A43" s="21" t="s">
        <v>273</v>
      </c>
      <c r="B43" s="22" t="s">
        <v>43</v>
      </c>
      <c r="C43" s="46" t="str">
        <f>VLOOKUP(A43,'[1]MFSA List'!$A$2:$B$152,2,FALSE)</f>
        <v>XTB NAB 4.25% May-19</v>
      </c>
      <c r="D43" s="24"/>
      <c r="E43" s="7"/>
      <c r="F43" s="25" t="str">
        <f>VLOOKUP(A43,'[1]MFSA List'!$A$2:$I$152,6,FALSE)</f>
        <v>n/a</v>
      </c>
      <c r="G43" s="26">
        <f>VLOOKUP(A43,'[1]MFSA List'!$A$2:$J$184,8,FALSE)/1000000</f>
        <v>0.51154999999999995</v>
      </c>
      <c r="H43" s="25">
        <f>VLOOKUP(A43,'[1]MFSA List'!$A$2:$N$147,14,FALSE)/1000000</f>
        <v>0</v>
      </c>
      <c r="I43" s="26">
        <f>VLOOKUP(A43,'[1]MFSA List'!$A$2:$R$147,18,FALSE)/1000000</f>
        <v>0</v>
      </c>
      <c r="J43" s="27">
        <f>VLOOKUP(A43,[1]IRESS!$A$10:$F$875,5,FALSE)</f>
        <v>0</v>
      </c>
      <c r="K43" s="28">
        <f>VLOOKUP(A43,[1]IRESS!$A$11:$G$684,7,FALSE)</f>
        <v>0</v>
      </c>
      <c r="L43" s="27">
        <f>VLOOKUP(A43,[1]IRESS!$A$10:$F$875,4,FALSE)</f>
        <v>0</v>
      </c>
      <c r="M43" s="29">
        <f t="shared" si="1"/>
        <v>0</v>
      </c>
      <c r="N43" s="30">
        <f>_xlfn.IFNA(VLOOKUP(A43,[1]Spreads!$A:$G,2,FALSE),"n/a")</f>
        <v>2.4436733297492699E-3</v>
      </c>
      <c r="O43" s="28">
        <f>IFERROR(VLOOKUP($A43,[1]Spreads!$A:$G,5,FALSE)/1000,"-")</f>
        <v>10.218</v>
      </c>
      <c r="P43" s="27">
        <f>IFERROR(VLOOKUP($A43,[1]Spreads!$A:$G,6,FALSE)/1000,"-")</f>
        <v>9.0138400000000001</v>
      </c>
      <c r="R43" s="32">
        <f>VLOOKUP($A43,[1]IRESS!$A$11:$AE$696,6,FALSE)/100</f>
        <v>103.75</v>
      </c>
      <c r="S43" s="33">
        <f>VLOOKUP($A43,[1]IRESS!$A$11:$AE$696,21,FALSE)/100</f>
        <v>105.74</v>
      </c>
      <c r="T43" s="32">
        <f>VLOOKUP($A43,[1]IRESS!$A$11:$AE$696,22,FALSE)/100</f>
        <v>103.75</v>
      </c>
      <c r="V43" s="34">
        <f>IFERROR((VLOOKUP($A43,[1]IRESS!$A$11:$AE$696,20,FALSE)/100)/R43,"n/a")</f>
        <v>4.0963855421686748E-2</v>
      </c>
      <c r="W43" s="35">
        <f>IFERROR(VLOOKUP($A43,[1]Morningstar!$A$2:$F$477,3,FALSE),"n/a")</f>
        <v>0</v>
      </c>
      <c r="X43" s="34">
        <f>IFERROR(VLOOKUP($A43,[1]Morningstar!$A$2:$F$477,4,FALSE),"n/a")</f>
        <v>2.8299999999999999E-2</v>
      </c>
      <c r="Y43" s="35" t="str">
        <f>IFERROR(VLOOKUP($A43,[1]Morningstar!$A$2:$F$477,5,FALSE),"n/a")</f>
        <v>n/a</v>
      </c>
      <c r="Z43" s="34" t="str">
        <f>IFERROR(VLOOKUP($A43,[1]Morningstar!$A$2:$F$477,6,FALSE),"n/a")</f>
        <v>n/a</v>
      </c>
    </row>
    <row r="44" spans="1:26">
      <c r="A44" s="21" t="s">
        <v>274</v>
      </c>
      <c r="B44" s="22" t="s">
        <v>43</v>
      </c>
      <c r="C44" s="46" t="str">
        <f>VLOOKUP(A44,'[1]MFSA List'!$A$2:$B$152,2,FALSE)</f>
        <v>XTB NVN 5.00% Dec-19</v>
      </c>
      <c r="D44" s="24"/>
      <c r="E44" s="7"/>
      <c r="F44" s="25" t="str">
        <f>VLOOKUP(A44,'[1]MFSA List'!$A$2:$I$152,6,FALSE)</f>
        <v>n/a</v>
      </c>
      <c r="G44" s="26">
        <f>VLOOKUP(A44,'[1]MFSA List'!$A$2:$J$184,8,FALSE)/1000000</f>
        <v>0</v>
      </c>
      <c r="H44" s="25">
        <f>VLOOKUP(A44,'[1]MFSA List'!$A$2:$N$147,14,FALSE)/1000000</f>
        <v>0</v>
      </c>
      <c r="I44" s="26">
        <f>VLOOKUP(A44,'[1]MFSA List'!$A$2:$R$147,18,FALSE)/1000000</f>
        <v>0</v>
      </c>
      <c r="J44" s="27">
        <f>VLOOKUP(A44,[1]IRESS!$A$10:$F$875,5,FALSE)</f>
        <v>1310659.3900000001</v>
      </c>
      <c r="K44" s="28">
        <f>VLOOKUP(A44,[1]IRESS!$A$11:$G$684,7,FALSE)</f>
        <v>10870</v>
      </c>
      <c r="L44" s="27">
        <f>VLOOKUP(A44,[1]IRESS!$A$10:$F$875,4,FALSE)</f>
        <v>31</v>
      </c>
      <c r="M44" s="29" t="str">
        <f t="shared" si="1"/>
        <v>n/a</v>
      </c>
      <c r="N44" s="30">
        <f>_xlfn.IFNA(VLOOKUP(A44,[1]Spreads!$A:$G,2,FALSE),"n/a")</f>
        <v>0</v>
      </c>
      <c r="O44" s="28">
        <f>IFERROR(VLOOKUP($A44,[1]Spreads!$A:$G,5,FALSE)/1000,"-")</f>
        <v>422.305562422744</v>
      </c>
      <c r="P44" s="27">
        <f>IFERROR(VLOOKUP($A44,[1]Spreads!$A:$G,6,FALSE)/1000,"-")</f>
        <v>212.04907292954198</v>
      </c>
      <c r="R44" s="32">
        <f>VLOOKUP($A44,[1]IRESS!$A$11:$AE$696,6,FALSE)/100</f>
        <v>120.4</v>
      </c>
      <c r="S44" s="33">
        <f>VLOOKUP($A44,[1]IRESS!$A$11:$AE$696,21,FALSE)/100</f>
        <v>0</v>
      </c>
      <c r="T44" s="32">
        <f>VLOOKUP($A44,[1]IRESS!$A$11:$AE$696,22,FALSE)/100</f>
        <v>0</v>
      </c>
      <c r="V44" s="34">
        <f>IFERROR((VLOOKUP($A44,[1]IRESS!$A$11:$AE$696,20,FALSE)/100)/R44,"n/a")</f>
        <v>0</v>
      </c>
      <c r="W44" s="35" t="str">
        <f>IFERROR(VLOOKUP($A44,[1]Morningstar!$A$2:$F$477,3,FALSE),"n/a")</f>
        <v>n/a</v>
      </c>
      <c r="X44" s="34" t="str">
        <f>IFERROR(VLOOKUP($A44,[1]Morningstar!$A$2:$F$477,4,FALSE),"n/a")</f>
        <v>n/a</v>
      </c>
      <c r="Y44" s="35" t="str">
        <f>IFERROR(VLOOKUP($A44,[1]Morningstar!$A$2:$F$477,5,FALSE),"n/a")</f>
        <v>n/a</v>
      </c>
      <c r="Z44" s="34" t="str">
        <f>IFERROR(VLOOKUP($A44,[1]Morningstar!$A$2:$F$477,6,FALSE),"n/a")</f>
        <v>n/a</v>
      </c>
    </row>
    <row r="45" spans="1:26">
      <c r="A45" s="21" t="s">
        <v>275</v>
      </c>
      <c r="B45" s="22" t="s">
        <v>43</v>
      </c>
      <c r="C45" s="46" t="str">
        <f>VLOOKUP(A45,'[1]MFSA List'!$A$2:$B$152,2,FALSE)</f>
        <v>XTB QF1 6.50% Apr-20</v>
      </c>
      <c r="D45" s="24"/>
      <c r="E45" s="7"/>
      <c r="F45" s="25" t="str">
        <f>VLOOKUP(A45,'[1]MFSA List'!$A$2:$I$152,6,FALSE)</f>
        <v>n/a</v>
      </c>
      <c r="G45" s="26">
        <f>VLOOKUP(A45,'[1]MFSA List'!$A$2:$J$184,8,FALSE)/1000000</f>
        <v>9.3975439999999999</v>
      </c>
      <c r="H45" s="25">
        <f>VLOOKUP(A45,'[1]MFSA List'!$A$2:$N$147,14,FALSE)/1000000</f>
        <v>2.18E-2</v>
      </c>
      <c r="I45" s="26">
        <f>VLOOKUP(A45,'[1]MFSA List'!$A$2:$R$147,18,FALSE)/1000000</f>
        <v>0</v>
      </c>
      <c r="J45" s="27">
        <f>VLOOKUP(A45,[1]IRESS!$A$10:$F$875,5,FALSE)</f>
        <v>614239.66</v>
      </c>
      <c r="K45" s="28">
        <f>VLOOKUP(A45,[1]IRESS!$A$11:$G$684,7,FALSE)</f>
        <v>5713</v>
      </c>
      <c r="L45" s="27">
        <f>VLOOKUP(A45,[1]IRESS!$A$10:$F$875,4,FALSE)</f>
        <v>10</v>
      </c>
      <c r="M45" s="29">
        <f>IFERROR(+J45/(G45*1000000),"n/a")</f>
        <v>6.5361722169111416E-2</v>
      </c>
      <c r="N45" s="30">
        <f>_xlfn.IFNA(VLOOKUP(A45,[1]Spreads!$A:$G,2,FALSE),"n/a")</f>
        <v>2.03958198650331E-3</v>
      </c>
      <c r="O45" s="28">
        <f>IFERROR(VLOOKUP($A45,[1]Spreads!$A:$G,5,FALSE)/1000,"-")</f>
        <v>416.43966386554598</v>
      </c>
      <c r="P45" s="27">
        <f>IFERROR(VLOOKUP($A45,[1]Spreads!$A:$G,6,FALSE)/1000,"-")</f>
        <v>205.39633825209998</v>
      </c>
      <c r="R45" s="32">
        <f>VLOOKUP($A45,[1]IRESS!$A$11:$AE$696,6,FALSE)/100</f>
        <v>107.62</v>
      </c>
      <c r="S45" s="33">
        <f>VLOOKUP($A45,[1]IRESS!$A$11:$AE$696,21,FALSE)/100</f>
        <v>112.25</v>
      </c>
      <c r="T45" s="32">
        <f>VLOOKUP($A45,[1]IRESS!$A$11:$AE$696,22,FALSE)/100</f>
        <v>106.86</v>
      </c>
      <c r="V45" s="34">
        <f>IFERROR((VLOOKUP($A45,[1]IRESS!$A$11:$AE$696,20,FALSE)/100)/R45,"n/a")</f>
        <v>6.0397695595614198E-2</v>
      </c>
      <c r="W45" s="35">
        <f>IFERROR(VLOOKUP($A45,[1]Morningstar!$A$2:$F$477,3,FALSE),"n/a")</f>
        <v>1.6000000000000001E-3</v>
      </c>
      <c r="X45" s="34">
        <f>IFERROR(VLOOKUP($A45,[1]Morningstar!$A$2:$F$477,4,FALSE),"n/a")</f>
        <v>2.52E-2</v>
      </c>
      <c r="Y45" s="35" t="str">
        <f>IFERROR(VLOOKUP($A45,[1]Morningstar!$A$2:$F$477,5,FALSE),"n/a")</f>
        <v>n/a</v>
      </c>
      <c r="Z45" s="34" t="str">
        <f>IFERROR(VLOOKUP($A45,[1]Morningstar!$A$2:$F$477,6,FALSE),"n/a")</f>
        <v>n/a</v>
      </c>
    </row>
    <row r="46" spans="1:26">
      <c r="A46" s="21" t="s">
        <v>276</v>
      </c>
      <c r="B46" s="22" t="s">
        <v>43</v>
      </c>
      <c r="C46" s="46" t="str">
        <f>VLOOKUP(A46,'[1]MFSA List'!$A$2:$B$152,2,FALSE)</f>
        <v>XTB QF2 7.50% Jun-21</v>
      </c>
      <c r="D46" s="24"/>
      <c r="E46" s="7"/>
      <c r="F46" s="25" t="str">
        <f>VLOOKUP(A46,'[1]MFSA List'!$A$2:$I$152,6,FALSE)</f>
        <v>n/a</v>
      </c>
      <c r="G46" s="26">
        <f>VLOOKUP(A46,'[1]MFSA List'!$A$2:$J$184,8,FALSE)/1000000</f>
        <v>16.202002</v>
      </c>
      <c r="H46" s="25">
        <f>VLOOKUP(A46,'[1]MFSA List'!$A$2:$N$147,14,FALSE)/1000000</f>
        <v>7.2878999999999999E-2</v>
      </c>
      <c r="I46" s="26">
        <f>VLOOKUP(A46,'[1]MFSA List'!$A$2:$R$147,18,FALSE)/1000000</f>
        <v>0</v>
      </c>
      <c r="J46" s="27">
        <f>VLOOKUP(A46,[1]IRESS!$A$10:$F$875,5,FALSE)</f>
        <v>861075.58000000007</v>
      </c>
      <c r="K46" s="28">
        <f>VLOOKUP(A46,[1]IRESS!$A$11:$G$684,7,FALSE)</f>
        <v>7623</v>
      </c>
      <c r="L46" s="27">
        <f>VLOOKUP(A46,[1]IRESS!$A$10:$F$875,4,FALSE)</f>
        <v>26</v>
      </c>
      <c r="M46" s="29">
        <f t="shared" si="1"/>
        <v>5.3146245754074097E-2</v>
      </c>
      <c r="N46" s="30">
        <f>_xlfn.IFNA(VLOOKUP(A46,[1]Spreads!$A:$G,2,FALSE),"n/a")</f>
        <v>2.3149591688280901E-3</v>
      </c>
      <c r="O46" s="28">
        <f>IFERROR(VLOOKUP($A46,[1]Spreads!$A:$G,5,FALSE)/1000,"-")</f>
        <v>213.817655239533</v>
      </c>
      <c r="P46" s="27">
        <f>IFERROR(VLOOKUP($A46,[1]Spreads!$A:$G,6,FALSE)/1000,"-")</f>
        <v>219.506002421234</v>
      </c>
      <c r="R46" s="32">
        <f>VLOOKUP($A46,[1]IRESS!$A$11:$AE$696,6,FALSE)/100</f>
        <v>113.38</v>
      </c>
      <c r="S46" s="33">
        <f>VLOOKUP($A46,[1]IRESS!$A$11:$AE$696,21,FALSE)/100</f>
        <v>119.79</v>
      </c>
      <c r="T46" s="32">
        <f>VLOOKUP($A46,[1]IRESS!$A$11:$AE$696,22,FALSE)/100</f>
        <v>112.63</v>
      </c>
      <c r="V46" s="34">
        <f>IFERROR((VLOOKUP($A46,[1]IRESS!$A$11:$AE$696,20,FALSE)/100)/R46,"n/a")</f>
        <v>6.6149232668901048E-2</v>
      </c>
      <c r="W46" s="35">
        <f>IFERROR(VLOOKUP($A46,[1]Morningstar!$A$2:$F$477,3,FALSE),"n/a")</f>
        <v>4.4999999999999997E-3</v>
      </c>
      <c r="X46" s="34">
        <f>IFERROR(VLOOKUP($A46,[1]Morningstar!$A$2:$F$477,4,FALSE),"n/a")</f>
        <v>3.4299999999999997E-2</v>
      </c>
      <c r="Y46" s="35" t="str">
        <f>IFERROR(VLOOKUP($A46,[1]Morningstar!$A$2:$F$477,5,FALSE),"n/a")</f>
        <v>n/a</v>
      </c>
      <c r="Z46" s="34" t="str">
        <f>IFERROR(VLOOKUP($A46,[1]Morningstar!$A$2:$F$477,6,FALSE),"n/a")</f>
        <v>n/a</v>
      </c>
    </row>
    <row r="47" spans="1:26">
      <c r="A47" s="21" t="s">
        <v>277</v>
      </c>
      <c r="B47" s="22" t="s">
        <v>43</v>
      </c>
      <c r="C47" s="46" t="str">
        <f>VLOOKUP(A47,'[1]MFSA List'!$A$2:$B$152,2,FALSE)</f>
        <v>XTB QF3 7.75% May-22</v>
      </c>
      <c r="D47" s="24"/>
      <c r="E47" s="7"/>
      <c r="F47" s="25" t="str">
        <f>VLOOKUP(A47,'[1]MFSA List'!$A$2:$I$152,6,FALSE)</f>
        <v>n/a</v>
      </c>
      <c r="G47" s="26">
        <f>VLOOKUP(A47,'[1]MFSA List'!$A$2:$J$184,8,FALSE)/1000000</f>
        <v>18.510719999999999</v>
      </c>
      <c r="H47" s="25">
        <f>VLOOKUP(A47,'[1]MFSA List'!$A$2:$N$147,14,FALSE)/1000000</f>
        <v>0.22703000000000001</v>
      </c>
      <c r="I47" s="26">
        <f>VLOOKUP(A47,'[1]MFSA List'!$A$2:$R$147,18,FALSE)/1000000</f>
        <v>0</v>
      </c>
      <c r="J47" s="27">
        <f>VLOOKUP(A47,[1]IRESS!$A$10:$F$875,5,FALSE)</f>
        <v>1036787.3300000002</v>
      </c>
      <c r="K47" s="28">
        <f>VLOOKUP(A47,[1]IRESS!$A$11:$G$684,7,FALSE)</f>
        <v>8839</v>
      </c>
      <c r="L47" s="27">
        <f>VLOOKUP(A47,[1]IRESS!$A$10:$F$875,4,FALSE)</f>
        <v>45</v>
      </c>
      <c r="M47" s="29">
        <f>IFERROR(+J47/(G47*1000000),"n/a")</f>
        <v>5.6010102794488828E-2</v>
      </c>
      <c r="N47" s="30">
        <f>_xlfn.IFNA(VLOOKUP(A47,[1]Spreads!$A:$G,2,FALSE),"n/a")</f>
        <v>2.3752409397200199E-3</v>
      </c>
      <c r="O47" s="28">
        <f>IFERROR(VLOOKUP($A47,[1]Spreads!$A:$G,5,FALSE)/1000,"-")</f>
        <v>204.153110492107</v>
      </c>
      <c r="P47" s="27">
        <f>IFERROR(VLOOKUP($A47,[1]Spreads!$A:$G,6,FALSE)/1000,"-")</f>
        <v>487.18027414113203</v>
      </c>
      <c r="R47" s="32">
        <f>VLOOKUP($A47,[1]IRESS!$A$11:$AE$696,6,FALSE)/100</f>
        <v>117.86</v>
      </c>
      <c r="S47" s="33">
        <f>VLOOKUP($A47,[1]IRESS!$A$11:$AE$696,21,FALSE)/100</f>
        <v>123.65</v>
      </c>
      <c r="T47" s="32">
        <f>VLOOKUP($A47,[1]IRESS!$A$11:$AE$696,22,FALSE)/100</f>
        <v>116.66</v>
      </c>
      <c r="V47" s="34">
        <f>IFERROR((VLOOKUP($A47,[1]IRESS!$A$11:$AE$696,20,FALSE)/100)/R47,"n/a")</f>
        <v>6.5755981673171565E-2</v>
      </c>
      <c r="W47" s="35">
        <f>IFERROR(VLOOKUP($A47,[1]Morningstar!$A$2:$F$477,3,FALSE),"n/a")</f>
        <v>2.3E-3</v>
      </c>
      <c r="X47" s="34">
        <f>IFERROR(VLOOKUP($A47,[1]Morningstar!$A$2:$F$477,4,FALSE),"n/a")</f>
        <v>3.8300000000000001E-2</v>
      </c>
      <c r="Y47" s="35" t="str">
        <f>IFERROR(VLOOKUP($A47,[1]Morningstar!$A$2:$F$477,5,FALSE),"n/a")</f>
        <v>n/a</v>
      </c>
      <c r="Z47" s="34" t="str">
        <f>IFERROR(VLOOKUP($A47,[1]Morningstar!$A$2:$F$477,6,FALSE),"n/a")</f>
        <v>n/a</v>
      </c>
    </row>
    <row r="48" spans="1:26">
      <c r="A48" s="21" t="s">
        <v>278</v>
      </c>
      <c r="B48" s="22" t="s">
        <v>43</v>
      </c>
      <c r="C48" s="46" t="str">
        <f>VLOOKUP(A48,'[1]MFSA List'!$A$2:$B$152,2,FALSE)</f>
        <v>XTB SCG 5.00% Oct-19</v>
      </c>
      <c r="D48" s="24"/>
      <c r="E48" s="7"/>
      <c r="F48" s="25" t="str">
        <f>VLOOKUP(A48,'[1]MFSA List'!$A$2:$I$152,6,FALSE)</f>
        <v>n/a</v>
      </c>
      <c r="G48" s="26">
        <f>VLOOKUP(A48,'[1]MFSA List'!$A$2:$J$184,8,FALSE)/1000000</f>
        <v>4.3826999999999998</v>
      </c>
      <c r="H48" s="25">
        <f>VLOOKUP(A48,'[1]MFSA List'!$A$2:$N$147,14,FALSE)/1000000</f>
        <v>2.0580000000000001E-2</v>
      </c>
      <c r="I48" s="26">
        <f>VLOOKUP(A48,'[1]MFSA List'!$A$2:$R$147,18,FALSE)/1000000</f>
        <v>0</v>
      </c>
      <c r="J48" s="27">
        <f>VLOOKUP(A48,[1]IRESS!$A$10:$F$875,5,FALSE)</f>
        <v>145357.25</v>
      </c>
      <c r="K48" s="28">
        <f>VLOOKUP(A48,[1]IRESS!$A$11:$G$684,7,FALSE)</f>
        <v>1395</v>
      </c>
      <c r="L48" s="27">
        <f>VLOOKUP(A48,[1]IRESS!$A$10:$F$875,4,FALSE)</f>
        <v>16</v>
      </c>
      <c r="M48" s="29">
        <f t="shared" si="1"/>
        <v>3.3166141876012502E-2</v>
      </c>
      <c r="N48" s="30">
        <f>_xlfn.IFNA(VLOOKUP(A48,[1]Spreads!$A:$G,2,FALSE),"n/a")</f>
        <v>3.53466093046946E-3</v>
      </c>
      <c r="O48" s="28">
        <f>IFERROR(VLOOKUP($A48,[1]Spreads!$A:$G,5,FALSE)/1000,"-")</f>
        <v>204.44369533333298</v>
      </c>
      <c r="P48" s="27">
        <f>IFERROR(VLOOKUP($A48,[1]Spreads!$A:$G,6,FALSE)/1000,"-")</f>
        <v>22.685667333333299</v>
      </c>
      <c r="R48" s="32">
        <f>VLOOKUP($A48,[1]IRESS!$A$11:$AE$696,6,FALSE)/100</f>
        <v>104.35</v>
      </c>
      <c r="S48" s="33">
        <f>VLOOKUP($A48,[1]IRESS!$A$11:$AE$696,21,FALSE)/100</f>
        <v>107.43</v>
      </c>
      <c r="T48" s="32">
        <f>VLOOKUP($A48,[1]IRESS!$A$11:$AE$696,22,FALSE)/100</f>
        <v>103.4</v>
      </c>
      <c r="V48" s="34">
        <f>IFERROR((VLOOKUP($A48,[1]IRESS!$A$11:$AE$696,20,FALSE)/100)/R48,"n/a")</f>
        <v>4.791566842357451E-2</v>
      </c>
      <c r="W48" s="35">
        <f>IFERROR(VLOOKUP($A48,[1]Morningstar!$A$2:$F$477,3,FALSE),"n/a")</f>
        <v>4.8999999999999998E-3</v>
      </c>
      <c r="X48" s="34">
        <f>IFERROR(VLOOKUP($A48,[1]Morningstar!$A$2:$F$477,4,FALSE),"n/a")</f>
        <v>2.1899999999999999E-2</v>
      </c>
      <c r="Y48" s="35">
        <f>IFERROR(VLOOKUP($A48,[1]Morningstar!$A$2:$F$477,5,FALSE),"n/a")</f>
        <v>3.4599999999999999E-2</v>
      </c>
      <c r="Z48" s="34" t="str">
        <f>IFERROR(VLOOKUP($A48,[1]Morningstar!$A$2:$F$477,6,FALSE),"n/a")</f>
        <v>n/a</v>
      </c>
    </row>
    <row r="49" spans="1:26">
      <c r="A49" s="21" t="s">
        <v>279</v>
      </c>
      <c r="B49" s="22" t="s">
        <v>43</v>
      </c>
      <c r="C49" s="46" t="str">
        <f>VLOOKUP(A49,'[1]MFSA List'!$A$2:$B$152,2,FALSE)</f>
        <v>XTB SG1 8.25% Nov-20</v>
      </c>
      <c r="D49" s="24"/>
      <c r="E49" s="7"/>
      <c r="F49" s="25" t="str">
        <f>VLOOKUP(A49,'[1]MFSA List'!$A$2:$I$152,6,FALSE)</f>
        <v>n/a</v>
      </c>
      <c r="G49" s="26">
        <f>VLOOKUP(A49,'[1]MFSA List'!$A$2:$J$184,8,FALSE)/1000000</f>
        <v>4.5843999999999996</v>
      </c>
      <c r="H49" s="25">
        <f>VLOOKUP(A49,'[1]MFSA List'!$A$2:$N$147,14,FALSE)/1000000</f>
        <v>8.8000000000000005E-3</v>
      </c>
      <c r="I49" s="26">
        <f>VLOOKUP(A49,'[1]MFSA List'!$A$2:$R$147,18,FALSE)/1000000</f>
        <v>0</v>
      </c>
      <c r="J49" s="27">
        <f>VLOOKUP(A49,[1]IRESS!$A$10:$F$875,5,FALSE)</f>
        <v>253545.31</v>
      </c>
      <c r="K49" s="28">
        <f>VLOOKUP(A49,[1]IRESS!$A$11:$G$684,7,FALSE)</f>
        <v>2217</v>
      </c>
      <c r="L49" s="27">
        <f>VLOOKUP(A49,[1]IRESS!$A$10:$F$875,4,FALSE)</f>
        <v>8</v>
      </c>
      <c r="M49" s="29">
        <f t="shared" si="1"/>
        <v>5.5306105488177298E-2</v>
      </c>
      <c r="N49" s="30">
        <f>_xlfn.IFNA(VLOOKUP(A49,[1]Spreads!$A:$G,2,FALSE),"n/a")</f>
        <v>5.3993546779200598E-3</v>
      </c>
      <c r="O49" s="28">
        <f>IFERROR(VLOOKUP($A49,[1]Spreads!$A:$G,5,FALSE)/1000,"-")</f>
        <v>216.08689171416</v>
      </c>
      <c r="P49" s="27">
        <f>IFERROR(VLOOKUP($A49,[1]Spreads!$A:$G,6,FALSE)/1000,"-")</f>
        <v>217.37076720736499</v>
      </c>
      <c r="R49" s="32">
        <f>VLOOKUP($A49,[1]IRESS!$A$11:$AE$696,6,FALSE)/100</f>
        <v>114.71</v>
      </c>
      <c r="S49" s="33">
        <f>VLOOKUP($A49,[1]IRESS!$A$11:$AE$696,21,FALSE)/100</f>
        <v>121.18</v>
      </c>
      <c r="T49" s="32">
        <f>VLOOKUP($A49,[1]IRESS!$A$11:$AE$696,22,FALSE)/100</f>
        <v>113.95</v>
      </c>
      <c r="V49" s="34">
        <f>IFERROR((VLOOKUP($A49,[1]IRESS!$A$11:$AE$696,20,FALSE)/100)/R49,"n/a")</f>
        <v>7.1920495161712145E-2</v>
      </c>
      <c r="W49" s="35">
        <f>IFERROR(VLOOKUP($A49,[1]Morningstar!$A$2:$F$477,3,FALSE),"n/a")</f>
        <v>4.0000000000000001E-3</v>
      </c>
      <c r="X49" s="34">
        <f>IFERROR(VLOOKUP($A49,[1]Morningstar!$A$2:$F$477,4,FALSE),"n/a")</f>
        <v>2.4400000000000002E-2</v>
      </c>
      <c r="Y49" s="35">
        <f>IFERROR(VLOOKUP($A49,[1]Morningstar!$A$2:$F$477,5,FALSE),"n/a")</f>
        <v>4.3099999999999999E-2</v>
      </c>
      <c r="Z49" s="34" t="str">
        <f>IFERROR(VLOOKUP($A49,[1]Morningstar!$A$2:$F$477,6,FALSE),"n/a")</f>
        <v>n/a</v>
      </c>
    </row>
    <row r="50" spans="1:26">
      <c r="A50" s="21" t="s">
        <v>280</v>
      </c>
      <c r="B50" s="22" t="s">
        <v>43</v>
      </c>
      <c r="C50" s="46" t="str">
        <f>VLOOKUP(A50,'[1]MFSA List'!$A$2:$B$152,2,FALSE)</f>
        <v>XTB SG2 4.50% Nov-22</v>
      </c>
      <c r="D50" s="24"/>
      <c r="E50" s="7"/>
      <c r="F50" s="25" t="str">
        <f>VLOOKUP(A50,'[1]MFSA List'!$A$2:$I$152,6,FALSE)</f>
        <v>n/a</v>
      </c>
      <c r="G50" s="26">
        <f>VLOOKUP(A50,'[1]MFSA List'!$A$2:$J$184,8,FALSE)/1000000</f>
        <v>2.3991750000000001</v>
      </c>
      <c r="H50" s="25">
        <f>VLOOKUP(A50,'[1]MFSA List'!$A$2:$N$147,14,FALSE)/1000000</f>
        <v>1.0703</v>
      </c>
      <c r="I50" s="26">
        <f>VLOOKUP(A50,'[1]MFSA List'!$A$2:$R$147,18,FALSE)/1000000</f>
        <v>1.0663</v>
      </c>
      <c r="J50" s="27">
        <f>VLOOKUP(A50,[1]IRESS!$A$10:$F$875,5,FALSE)</f>
        <v>1013765.04</v>
      </c>
      <c r="K50" s="28">
        <f>VLOOKUP(A50,[1]IRESS!$A$11:$G$684,7,FALSE)</f>
        <v>9550</v>
      </c>
      <c r="L50" s="27">
        <f>VLOOKUP(A50,[1]IRESS!$A$10:$F$875,4,FALSE)</f>
        <v>9</v>
      </c>
      <c r="M50" s="29">
        <f t="shared" si="1"/>
        <v>0.42254735065178656</v>
      </c>
      <c r="N50" s="30">
        <f>_xlfn.IFNA(VLOOKUP(A50,[1]Spreads!$A:$G,2,FALSE),"n/a")</f>
        <v>3.4704642274780602E-3</v>
      </c>
      <c r="O50" s="28">
        <f>IFERROR(VLOOKUP($A50,[1]Spreads!$A:$G,5,FALSE)/1000,"-")</f>
        <v>222.46516499999899</v>
      </c>
      <c r="P50" s="27">
        <f>IFERROR(VLOOKUP($A50,[1]Spreads!$A:$G,6,FALSE)/1000,"-")</f>
        <v>58.411078750000001</v>
      </c>
      <c r="R50" s="32">
        <f>VLOOKUP($A50,[1]IRESS!$A$11:$AE$696,6,FALSE)/100</f>
        <v>106.63</v>
      </c>
      <c r="S50" s="33">
        <f>VLOOKUP($A50,[1]IRESS!$A$11:$AE$696,21,FALSE)/100</f>
        <v>108.2</v>
      </c>
      <c r="T50" s="32">
        <f>VLOOKUP($A50,[1]IRESS!$A$11:$AE$696,22,FALSE)/100</f>
        <v>105.63</v>
      </c>
      <c r="V50" s="34">
        <f>IFERROR((VLOOKUP($A50,[1]IRESS!$A$11:$AE$696,20,FALSE)/100)/R50,"n/a")</f>
        <v>4.2202006939885586E-2</v>
      </c>
      <c r="W50" s="35">
        <f>IFERROR(VLOOKUP($A50,[1]Morningstar!$A$2:$F$477,3,FALSE),"n/a")</f>
        <v>3.0000000000000001E-3</v>
      </c>
      <c r="X50" s="34" t="str">
        <f>IFERROR(VLOOKUP($A50,[1]Morningstar!$A$2:$F$477,4,FALSE),"n/a")</f>
        <v>n/a</v>
      </c>
      <c r="Y50" s="35" t="str">
        <f>IFERROR(VLOOKUP($A50,[1]Morningstar!$A$2:$F$477,5,FALSE),"n/a")</f>
        <v>n/a</v>
      </c>
      <c r="Z50" s="34" t="str">
        <f>IFERROR(VLOOKUP($A50,[1]Morningstar!$A$2:$F$477,6,FALSE),"n/a")</f>
        <v>n/a</v>
      </c>
    </row>
    <row r="51" spans="1:26">
      <c r="A51" s="21" t="s">
        <v>281</v>
      </c>
      <c r="B51" s="22" t="s">
        <v>43</v>
      </c>
      <c r="C51" s="46" t="str">
        <f>VLOOKUP(A51,'[1]MFSA List'!$A$2:$B$152,2,FALSE)</f>
        <v>XTB SGP 5.50% Sep-19</v>
      </c>
      <c r="D51" s="24"/>
      <c r="E51" s="7"/>
      <c r="F51" s="25" t="str">
        <f>VLOOKUP(A51,'[1]MFSA List'!$A$2:$I$152,6,FALSE)</f>
        <v>n/a</v>
      </c>
      <c r="G51" s="26">
        <f>VLOOKUP(A51,'[1]MFSA List'!$A$2:$J$184,8,FALSE)/1000000</f>
        <v>1.5846</v>
      </c>
      <c r="H51" s="25">
        <f>VLOOKUP(A51,'[1]MFSA List'!$A$2:$N$147,14,FALSE)/1000000</f>
        <v>1.5E-3</v>
      </c>
      <c r="I51" s="26">
        <f>VLOOKUP(A51,'[1]MFSA List'!$A$2:$R$147,18,FALSE)/1000000</f>
        <v>0</v>
      </c>
      <c r="J51" s="27">
        <f>VLOOKUP(A51,[1]IRESS!$A$10:$F$875,5,FALSE)</f>
        <v>2004.88</v>
      </c>
      <c r="K51" s="28">
        <f>VLOOKUP(A51,[1]IRESS!$A$11:$G$684,7,FALSE)</f>
        <v>19</v>
      </c>
      <c r="L51" s="27">
        <f>VLOOKUP(A51,[1]IRESS!$A$10:$F$875,4,FALSE)</f>
        <v>1</v>
      </c>
      <c r="M51" s="29">
        <f t="shared" si="1"/>
        <v>1.2652278177458034E-3</v>
      </c>
      <c r="N51" s="30">
        <f>_xlfn.IFNA(VLOOKUP(A51,[1]Spreads!$A:$G,2,FALSE),"n/a")</f>
        <v>6.0640175456866292E-3</v>
      </c>
      <c r="O51" s="28">
        <f>IFERROR(VLOOKUP($A51,[1]Spreads!$A:$G,5,FALSE)/1000,"-")</f>
        <v>224.401833076923</v>
      </c>
      <c r="P51" s="27">
        <f>IFERROR(VLOOKUP($A51,[1]Spreads!$A:$G,6,FALSE)/1000,"-")</f>
        <v>199.83391307692298</v>
      </c>
      <c r="R51" s="32">
        <f>VLOOKUP($A51,[1]IRESS!$A$11:$AE$696,6,FALSE)/100</f>
        <v>105.52</v>
      </c>
      <c r="S51" s="33">
        <f>VLOOKUP($A51,[1]IRESS!$A$11:$AE$696,21,FALSE)/100</f>
        <v>109.03</v>
      </c>
      <c r="T51" s="32">
        <f>VLOOKUP($A51,[1]IRESS!$A$11:$AE$696,22,FALSE)/100</f>
        <v>105.52</v>
      </c>
      <c r="V51" s="34">
        <f>IFERROR((VLOOKUP($A51,[1]IRESS!$A$11:$AE$696,20,FALSE)/100)/R51,"n/a")</f>
        <v>5.2122820318423052E-2</v>
      </c>
      <c r="W51" s="35">
        <f>IFERROR(VLOOKUP($A51,[1]Morningstar!$A$2:$F$477,3,FALSE),"n/a")</f>
        <v>-7.1000000000000004E-3</v>
      </c>
      <c r="X51" s="34">
        <f>IFERROR(VLOOKUP($A51,[1]Morningstar!$A$2:$F$477,4,FALSE),"n/a")</f>
        <v>1.5699999999999999E-2</v>
      </c>
      <c r="Y51" s="35">
        <f>IFERROR(VLOOKUP($A51,[1]Morningstar!$A$2:$F$477,5,FALSE),"n/a")</f>
        <v>2.3400000000000001E-2</v>
      </c>
      <c r="Z51" s="34" t="str">
        <f>IFERROR(VLOOKUP($A51,[1]Morningstar!$A$2:$F$477,6,FALSE),"n/a")</f>
        <v>n/a</v>
      </c>
    </row>
    <row r="52" spans="1:26">
      <c r="A52" s="21" t="s">
        <v>282</v>
      </c>
      <c r="B52" s="22" t="s">
        <v>43</v>
      </c>
      <c r="C52" s="46" t="str">
        <f>VLOOKUP(A52,'[1]MFSA List'!$A$2:$B$152,2,FALSE)</f>
        <v>XTB SYD 7.75% Jul-18</v>
      </c>
      <c r="D52" s="24"/>
      <c r="E52" s="7"/>
      <c r="F52" s="25" t="str">
        <f>VLOOKUP(A52,'[1]MFSA List'!$A$2:$I$152,6,FALSE)</f>
        <v>n/a</v>
      </c>
      <c r="G52" s="26">
        <f>VLOOKUP(A52,'[1]MFSA List'!$A$2:$J$184,8,FALSE)/1000000</f>
        <v>0.92951039999999996</v>
      </c>
      <c r="H52" s="25">
        <f>VLOOKUP(A52,'[1]MFSA List'!$A$2:$N$147,14,FALSE)/1000000</f>
        <v>1.8815999999998603E-3</v>
      </c>
      <c r="I52" s="26">
        <f>VLOOKUP(A52,'[1]MFSA List'!$A$2:$R$147,18,FALSE)/1000000</f>
        <v>0</v>
      </c>
      <c r="J52" s="27">
        <f>VLOOKUP(A52,[1]IRESS!$A$10:$F$875,5,FALSE)</f>
        <v>166509.91000000003</v>
      </c>
      <c r="K52" s="28">
        <f>VLOOKUP(A52,[1]IRESS!$A$11:$G$684,7,FALSE)</f>
        <v>1607</v>
      </c>
      <c r="L52" s="27">
        <f>VLOOKUP(A52,[1]IRESS!$A$10:$F$875,4,FALSE)</f>
        <v>13</v>
      </c>
      <c r="M52" s="29">
        <f t="shared" si="1"/>
        <v>0.17913722105745136</v>
      </c>
      <c r="N52" s="30">
        <f>_xlfn.IFNA(VLOOKUP(A52,[1]Spreads!$A:$G,2,FALSE),"n/a")</f>
        <v>2.2002104099371898E-3</v>
      </c>
      <c r="O52" s="28">
        <f>IFERROR(VLOOKUP($A52,[1]Spreads!$A:$G,5,FALSE)/1000,"-")</f>
        <v>240.07640708333301</v>
      </c>
      <c r="P52" s="27">
        <f>IFERROR(VLOOKUP($A52,[1]Spreads!$A:$G,6,FALSE)/1000,"-")</f>
        <v>229.73418624999999</v>
      </c>
      <c r="R52" s="32">
        <f>VLOOKUP($A52,[1]IRESS!$A$11:$AE$696,6,FALSE)/100</f>
        <v>103.74</v>
      </c>
      <c r="S52" s="33">
        <f>VLOOKUP($A52,[1]IRESS!$A$11:$AE$696,21,FALSE)/100</f>
        <v>107.25</v>
      </c>
      <c r="T52" s="32">
        <f>VLOOKUP($A52,[1]IRESS!$A$11:$AE$696,22,FALSE)/100</f>
        <v>103.18</v>
      </c>
      <c r="V52" s="34">
        <f>IFERROR((VLOOKUP($A52,[1]IRESS!$A$11:$AE$696,20,FALSE)/100)/R52,"n/a")</f>
        <v>7.4705995758627339E-2</v>
      </c>
      <c r="W52" s="35">
        <f>IFERROR(VLOOKUP($A52,[1]Morningstar!$A$2:$F$477,3,FALSE),"n/a")</f>
        <v>3.95E-2</v>
      </c>
      <c r="X52" s="34">
        <f>IFERROR(VLOOKUP($A52,[1]Morningstar!$A$2:$F$477,4,FALSE),"n/a")</f>
        <v>4.6800000000000001E-2</v>
      </c>
      <c r="Y52" s="35" t="str">
        <f>IFERROR(VLOOKUP($A52,[1]Morningstar!$A$2:$F$477,5,FALSE),"n/a")</f>
        <v>n/a</v>
      </c>
      <c r="Z52" s="34" t="str">
        <f>IFERROR(VLOOKUP($A52,[1]Morningstar!$A$2:$F$477,6,FALSE),"n/a")</f>
        <v>n/a</v>
      </c>
    </row>
    <row r="53" spans="1:26">
      <c r="A53" s="21" t="s">
        <v>283</v>
      </c>
      <c r="B53" s="22" t="s">
        <v>43</v>
      </c>
      <c r="C53" s="46" t="str">
        <f>VLOOKUP(A53,'[1]MFSA List'!$A$2:$B$152,2,FALSE)</f>
        <v>XTB TCL 4.90% Dec-21</v>
      </c>
      <c r="D53" s="24"/>
      <c r="E53" s="7"/>
      <c r="F53" s="25" t="str">
        <f>VLOOKUP(A53,'[1]MFSA List'!$A$2:$I$152,6,FALSE)</f>
        <v>n/a</v>
      </c>
      <c r="G53" s="26">
        <f>VLOOKUP(A53,'[1]MFSA List'!$A$2:$J$184,8,FALSE)/1000000</f>
        <v>1.0818000000000001</v>
      </c>
      <c r="H53" s="25">
        <f>VLOOKUP(A53,'[1]MFSA List'!$A$2:$N$147,14,FALSE)/1000000</f>
        <v>0</v>
      </c>
      <c r="I53" s="26">
        <f>VLOOKUP(A53,'[1]MFSA List'!$A$2:$R$147,18,FALSE)/1000000</f>
        <v>0</v>
      </c>
      <c r="J53" s="27">
        <f>VLOOKUP(A53,[1]IRESS!$A$10:$F$875,5,FALSE)</f>
        <v>0</v>
      </c>
      <c r="K53" s="28">
        <f>VLOOKUP(A53,[1]IRESS!$A$11:$G$684,7,FALSE)</f>
        <v>0</v>
      </c>
      <c r="L53" s="27">
        <f>VLOOKUP(A53,[1]IRESS!$A$10:$F$875,4,FALSE)</f>
        <v>0</v>
      </c>
      <c r="M53" s="29">
        <f t="shared" si="1"/>
        <v>0</v>
      </c>
      <c r="N53" s="30">
        <f>_xlfn.IFNA(VLOOKUP(A53,[1]Spreads!$A:$G,2,FALSE),"n/a")</f>
        <v>0</v>
      </c>
      <c r="O53" s="28">
        <f>IFERROR(VLOOKUP($A53,[1]Spreads!$A:$G,5,FALSE)/1000,"-")</f>
        <v>234.65076499999898</v>
      </c>
      <c r="P53" s="27">
        <f>IFERROR(VLOOKUP($A53,[1]Spreads!$A:$G,6,FALSE)/1000,"-")</f>
        <v>291.42444793103402</v>
      </c>
      <c r="R53" s="32">
        <f>VLOOKUP($A53,[1]IRESS!$A$11:$AE$696,6,FALSE)/100</f>
        <v>108.01</v>
      </c>
      <c r="S53" s="33">
        <f>VLOOKUP($A53,[1]IRESS!$A$11:$AE$696,21,FALSE)/100</f>
        <v>110.16</v>
      </c>
      <c r="T53" s="32">
        <f>VLOOKUP($A53,[1]IRESS!$A$11:$AE$696,22,FALSE)/100</f>
        <v>107.86</v>
      </c>
      <c r="V53" s="34">
        <f>IFERROR((VLOOKUP($A53,[1]IRESS!$A$11:$AE$696,20,FALSE)/100)/R53,"n/a")</f>
        <v>4.5366169799092679E-2</v>
      </c>
      <c r="W53" s="35">
        <f>IFERROR(VLOOKUP($A53,[1]Morningstar!$A$2:$F$477,3,FALSE),"n/a")</f>
        <v>2.2700000000000001E-2</v>
      </c>
      <c r="X53" s="34" t="str">
        <f>IFERROR(VLOOKUP($A53,[1]Morningstar!$A$2:$F$477,4,FALSE),"n/a")</f>
        <v>n/a</v>
      </c>
      <c r="Y53" s="35" t="str">
        <f>IFERROR(VLOOKUP($A53,[1]Morningstar!$A$2:$F$477,5,FALSE),"n/a")</f>
        <v>n/a</v>
      </c>
      <c r="Z53" s="34" t="str">
        <f>IFERROR(VLOOKUP($A53,[1]Morningstar!$A$2:$F$477,6,FALSE),"n/a")</f>
        <v>n/a</v>
      </c>
    </row>
    <row r="54" spans="1:26">
      <c r="A54" s="21" t="s">
        <v>284</v>
      </c>
      <c r="B54" s="22" t="s">
        <v>43</v>
      </c>
      <c r="C54" s="46" t="str">
        <f>VLOOKUP(A54,'[1]MFSA List'!$A$2:$B$152,2,FALSE)</f>
        <v>XTB TL1 4.00% Sep-22</v>
      </c>
      <c r="D54" s="24"/>
      <c r="E54" s="7"/>
      <c r="F54" s="25" t="str">
        <f>VLOOKUP(A54,'[1]MFSA List'!$A$2:$I$152,6,FALSE)</f>
        <v>n/a</v>
      </c>
      <c r="G54" s="26">
        <f>VLOOKUP(A54,'[1]MFSA List'!$A$2:$J$184,8,FALSE)/1000000</f>
        <v>3.4267069999999999</v>
      </c>
      <c r="H54" s="25">
        <f>VLOOKUP(A54,'[1]MFSA List'!$A$2:$N$147,14,FALSE)/1000000</f>
        <v>1.0517570000000001</v>
      </c>
      <c r="I54" s="26">
        <f>VLOOKUP(A54,'[1]MFSA List'!$A$2:$R$147,18,FALSE)/1000000</f>
        <v>1.0609</v>
      </c>
      <c r="J54" s="27">
        <f>VLOOKUP(A54,[1]IRESS!$A$10:$F$875,5,FALSE)</f>
        <v>702988.37</v>
      </c>
      <c r="K54" s="28">
        <f>VLOOKUP(A54,[1]IRESS!$A$11:$G$684,7,FALSE)</f>
        <v>6655</v>
      </c>
      <c r="L54" s="27">
        <f>VLOOKUP(A54,[1]IRESS!$A$10:$F$875,4,FALSE)</f>
        <v>6</v>
      </c>
      <c r="M54" s="29">
        <f t="shared" si="1"/>
        <v>0.20514983335312881</v>
      </c>
      <c r="N54" s="30">
        <f>_xlfn.IFNA(VLOOKUP(A54,[1]Spreads!$A:$G,2,FALSE),"n/a")</f>
        <v>3.59513969911485E-3</v>
      </c>
      <c r="O54" s="28">
        <f>IFERROR(VLOOKUP($A54,[1]Spreads!$A:$G,5,FALSE)/1000,"-")</f>
        <v>207.414044472645</v>
      </c>
      <c r="P54" s="27">
        <f>IFERROR(VLOOKUP($A54,[1]Spreads!$A:$G,6,FALSE)/1000,"-")</f>
        <v>208.148279751833</v>
      </c>
      <c r="R54" s="32">
        <f>VLOOKUP($A54,[1]IRESS!$A$11:$AE$696,6,FALSE)/100</f>
        <v>106.09</v>
      </c>
      <c r="S54" s="33">
        <f>VLOOKUP($A54,[1]IRESS!$A$11:$AE$696,21,FALSE)/100</f>
        <v>108.64</v>
      </c>
      <c r="T54" s="32">
        <f>VLOOKUP($A54,[1]IRESS!$A$11:$AE$696,22,FALSE)/100</f>
        <v>105.51</v>
      </c>
      <c r="V54" s="34">
        <f>IFERROR((VLOOKUP($A54,[1]IRESS!$A$11:$AE$696,20,FALSE)/100)/R54,"n/a")</f>
        <v>3.7703836365350171E-2</v>
      </c>
      <c r="W54" s="35">
        <f>IFERROR(VLOOKUP($A54,[1]Morningstar!$A$2:$F$477,3,FALSE),"n/a")</f>
        <v>-5.5999999999999999E-3</v>
      </c>
      <c r="X54" s="34" t="str">
        <f>IFERROR(VLOOKUP($A54,[1]Morningstar!$A$2:$F$477,4,FALSE),"n/a")</f>
        <v>n/a</v>
      </c>
      <c r="Y54" s="35" t="str">
        <f>IFERROR(VLOOKUP($A54,[1]Morningstar!$A$2:$F$477,5,FALSE),"n/a")</f>
        <v>n/a</v>
      </c>
      <c r="Z54" s="34" t="str">
        <f>IFERROR(VLOOKUP($A54,[1]Morningstar!$A$2:$F$477,6,FALSE),"n/a")</f>
        <v>n/a</v>
      </c>
    </row>
    <row r="55" spans="1:26">
      <c r="A55" s="21" t="s">
        <v>285</v>
      </c>
      <c r="B55" s="22" t="s">
        <v>43</v>
      </c>
      <c r="C55" s="46" t="str">
        <f>VLOOKUP(A55,'[1]MFSA List'!$A$2:$B$152,2,FALSE)</f>
        <v>XTB TLS 7.75% Jul-20</v>
      </c>
      <c r="D55" s="24"/>
      <c r="E55" s="7"/>
      <c r="F55" s="25" t="str">
        <f>VLOOKUP(A55,'[1]MFSA List'!$A$2:$I$152,6,FALSE)</f>
        <v>n/a</v>
      </c>
      <c r="G55" s="26">
        <f>VLOOKUP(A55,'[1]MFSA List'!$A$2:$J$184,8,FALSE)/1000000</f>
        <v>4.5330199999999996</v>
      </c>
      <c r="H55" s="25">
        <f>VLOOKUP(A55,'[1]MFSA List'!$A$2:$N$147,14,FALSE)/1000000</f>
        <v>-9.4800000000000006E-3</v>
      </c>
      <c r="I55" s="26">
        <f>VLOOKUP(A55,'[1]MFSA List'!$A$2:$R$147,18,FALSE)/1000000</f>
        <v>0</v>
      </c>
      <c r="J55" s="27">
        <f>VLOOKUP(A55,[1]IRESS!$A$10:$F$875,5,FALSE)</f>
        <v>121408.29</v>
      </c>
      <c r="K55" s="28">
        <f>VLOOKUP(A55,[1]IRESS!$A$11:$G$684,7,FALSE)</f>
        <v>1058</v>
      </c>
      <c r="L55" s="27">
        <f>VLOOKUP(A55,[1]IRESS!$A$10:$F$875,4,FALSE)</f>
        <v>11</v>
      </c>
      <c r="M55" s="29">
        <f t="shared" si="1"/>
        <v>2.6783091625450582E-2</v>
      </c>
      <c r="N55" s="30">
        <f>_xlfn.IFNA(VLOOKUP(A55,[1]Spreads!$A:$G,2,FALSE),"n/a")</f>
        <v>2.9684788010027803E-3</v>
      </c>
      <c r="O55" s="28">
        <f>IFERROR(VLOOKUP($A55,[1]Spreads!$A:$G,5,FALSE)/1000,"-")</f>
        <v>230.392560175054</v>
      </c>
      <c r="P55" s="27">
        <f>IFERROR(VLOOKUP($A55,[1]Spreads!$A:$G,6,FALSE)/1000,"-")</f>
        <v>228.19603391247199</v>
      </c>
      <c r="R55" s="32"/>
      <c r="S55" s="48">
        <f>VLOOKUP($A55,[1]IRESS!$A$11:$AE$696,21,FALSE)/100</f>
        <v>118.06</v>
      </c>
      <c r="T55" s="32">
        <f>VLOOKUP($A55,[1]IRESS!$A$11:$AE$696,22,FALSE)/100</f>
        <v>113.66</v>
      </c>
      <c r="V55" s="34" t="str">
        <f>IFERROR((VLOOKUP($A55,[1]IRESS!$A$11:$AE$696,20,FALSE)/100)/R55,"n/a")</f>
        <v>n/a</v>
      </c>
      <c r="W55" s="35">
        <f>IFERROR(VLOOKUP($A55,[1]Morningstar!$A$2:$F$477,3,FALSE),"n/a")</f>
        <v>-2.2000000000000001E-3</v>
      </c>
      <c r="X55" s="34">
        <f>IFERROR(VLOOKUP($A55,[1]Morningstar!$A$2:$F$477,4,FALSE),"n/a")</f>
        <v>1.7899999999999999E-2</v>
      </c>
      <c r="Y55" s="35">
        <f>IFERROR(VLOOKUP($A55,[1]Morningstar!$A$2:$F$477,5,FALSE),"n/a")</f>
        <v>2.24E-2</v>
      </c>
      <c r="Z55" s="34" t="str">
        <f>IFERROR(VLOOKUP($A55,[1]Morningstar!$A$2:$F$477,6,FALSE),"n/a")</f>
        <v>n/a</v>
      </c>
    </row>
    <row r="56" spans="1:26">
      <c r="A56" s="21" t="s">
        <v>286</v>
      </c>
      <c r="B56" s="22" t="s">
        <v>43</v>
      </c>
      <c r="C56" s="46" t="str">
        <f>VLOOKUP(A56,'[1]MFSA List'!$A$2:$B$152,2,FALSE)</f>
        <v>XTB WB1 3.50% Jul-20</v>
      </c>
      <c r="D56" s="24"/>
      <c r="E56" s="7"/>
      <c r="F56" s="25" t="str">
        <f>VLOOKUP(A56,'[1]MFSA List'!$A$2:$I$152,6,FALSE)</f>
        <v>n/a</v>
      </c>
      <c r="G56" s="26">
        <f>VLOOKUP(A56,'[1]MFSA List'!$A$2:$J$184,8,FALSE)/1000000</f>
        <v>1.0404000000000002</v>
      </c>
      <c r="H56" s="25">
        <f>VLOOKUP(A56,'[1]MFSA List'!$A$2:$N$147,14,FALSE)/1000000</f>
        <v>2.9000000000001165E-3</v>
      </c>
      <c r="I56" s="26">
        <f>VLOOKUP(A56,'[1]MFSA List'!$A$2:$R$147,18,FALSE)/1000000</f>
        <v>0</v>
      </c>
      <c r="J56" s="27">
        <f>VLOOKUP(A56,[1]IRESS!$A$10:$F$875,5,FALSE)</f>
        <v>32962.020000000004</v>
      </c>
      <c r="K56" s="28">
        <f>VLOOKUP(A56,[1]IRESS!$A$11:$G$684,7,FALSE)</f>
        <v>318</v>
      </c>
      <c r="L56" s="27">
        <f>VLOOKUP(A56,[1]IRESS!$A$10:$F$875,4,FALSE)</f>
        <v>5</v>
      </c>
      <c r="M56" s="29">
        <f t="shared" si="1"/>
        <v>3.1682064590542097E-2</v>
      </c>
      <c r="N56" s="30">
        <f>_xlfn.IFNA(VLOOKUP(A56,[1]Spreads!$A:$G,2,FALSE),"n/a")</f>
        <v>2.39069635459806E-3</v>
      </c>
      <c r="O56" s="28">
        <f>IFERROR(VLOOKUP($A56,[1]Spreads!$A:$G,5,FALSE)/1000,"-")</f>
        <v>254.04145599999899</v>
      </c>
      <c r="P56" s="27">
        <f>IFERROR(VLOOKUP($A56,[1]Spreads!$A:$G,6,FALSE)/1000,"-")</f>
        <v>197.48648466666597</v>
      </c>
      <c r="R56" s="32">
        <f>VLOOKUP($A56,[1]IRESS!$A$11:$AE$696,6,FALSE)/100</f>
        <v>103.86</v>
      </c>
      <c r="S56" s="33">
        <f>VLOOKUP($A56,[1]IRESS!$A$11:$AE$696,21,FALSE)/100</f>
        <v>105.49</v>
      </c>
      <c r="T56" s="32">
        <f>VLOOKUP($A56,[1]IRESS!$A$11:$AE$696,22,FALSE)/100</f>
        <v>102.84</v>
      </c>
      <c r="V56" s="34">
        <f>IFERROR((VLOOKUP($A56,[1]IRESS!$A$11:$AE$696,20,FALSE)/100)/R56,"n/a")</f>
        <v>3.3699210475640284E-2</v>
      </c>
      <c r="W56" s="35">
        <f>IFERROR(VLOOKUP($A56,[1]Morningstar!$A$2:$F$477,3,FALSE),"n/a")</f>
        <v>2.3E-3</v>
      </c>
      <c r="X56" s="34">
        <f>IFERROR(VLOOKUP($A56,[1]Morningstar!$A$2:$F$477,4,FALSE),"n/a")</f>
        <v>1.7899999999999999E-2</v>
      </c>
      <c r="Y56" s="35" t="str">
        <f>IFERROR(VLOOKUP($A56,[1]Morningstar!$A$2:$F$477,5,FALSE),"n/a")</f>
        <v>n/a</v>
      </c>
      <c r="Z56" s="34" t="str">
        <f>IFERROR(VLOOKUP($A56,[1]Morningstar!$A$2:$F$477,6,FALSE),"n/a")</f>
        <v>n/a</v>
      </c>
    </row>
    <row r="57" spans="1:26">
      <c r="A57" s="21" t="s">
        <v>287</v>
      </c>
      <c r="B57" s="22" t="s">
        <v>43</v>
      </c>
      <c r="C57" s="46" t="str">
        <f>VLOOKUP(A57,'[1]MFSA List'!$A$2:$B$152,2,FALSE)</f>
        <v>XTB WBC 3.25% Jan-20</v>
      </c>
      <c r="D57" s="24"/>
      <c r="E57" s="7"/>
      <c r="F57" s="25" t="str">
        <f>VLOOKUP(A57,'[1]MFSA List'!$A$2:$I$152,6,FALSE)</f>
        <v>n/a</v>
      </c>
      <c r="G57" s="26">
        <f>VLOOKUP(A57,'[1]MFSA List'!$A$2:$J$184,8,FALSE)/1000000</f>
        <v>0.51529999999999998</v>
      </c>
      <c r="H57" s="25">
        <f>VLOOKUP(A57,'[1]MFSA List'!$A$2:$N$147,14,FALSE)/1000000</f>
        <v>8.4999999999999995E-4</v>
      </c>
      <c r="I57" s="26">
        <f>VLOOKUP(A57,'[1]MFSA List'!$A$2:$R$147,18,FALSE)/1000000</f>
        <v>0</v>
      </c>
      <c r="J57" s="27">
        <f>VLOOKUP(A57,[1]IRESS!$A$10:$F$875,5,FALSE)</f>
        <v>0</v>
      </c>
      <c r="K57" s="28">
        <f>VLOOKUP(A57,[1]IRESS!$A$11:$G$684,7,FALSE)</f>
        <v>0</v>
      </c>
      <c r="L57" s="27">
        <f>VLOOKUP(A57,[1]IRESS!$A$10:$F$875,4,FALSE)</f>
        <v>0</v>
      </c>
      <c r="M57" s="29">
        <f t="shared" si="1"/>
        <v>0</v>
      </c>
      <c r="N57" s="30">
        <f>_xlfn.IFNA(VLOOKUP(A57,[1]Spreads!$A:$G,2,FALSE),"n/a")</f>
        <v>2.4273022962279702E-3</v>
      </c>
      <c r="O57" s="28">
        <f>IFERROR(VLOOKUP($A57,[1]Spreads!$A:$G,5,FALSE)/1000,"-")</f>
        <v>210.67304730472998</v>
      </c>
      <c r="P57" s="27">
        <f>IFERROR(VLOOKUP($A57,[1]Spreads!$A:$G,6,FALSE)/1000,"-")</f>
        <v>211.95722772277199</v>
      </c>
      <c r="R57" s="32">
        <f>VLOOKUP($A57,[1]IRESS!$A$11:$AE$696,6,FALSE)/100</f>
        <v>102.52</v>
      </c>
      <c r="S57" s="33">
        <f>VLOOKUP($A57,[1]IRESS!$A$11:$AE$696,21,FALSE)/100</f>
        <v>104.01</v>
      </c>
      <c r="T57" s="32">
        <f>VLOOKUP($A57,[1]IRESS!$A$11:$AE$696,22,FALSE)/100</f>
        <v>102.15</v>
      </c>
      <c r="V57" s="34">
        <f>IFERROR((VLOOKUP($A57,[1]IRESS!$A$11:$AE$696,20,FALSE)/100)/R57,"n/a")</f>
        <v>3.1701131486539212E-2</v>
      </c>
      <c r="W57" s="35">
        <f>IFERROR(VLOOKUP($A57,[1]Morningstar!$A$2:$F$477,3,FALSE),"n/a")</f>
        <v>0</v>
      </c>
      <c r="X57" s="34">
        <f>IFERROR(VLOOKUP($A57,[1]Morningstar!$A$2:$F$477,4,FALSE),"n/a")</f>
        <v>1.4500000000000001E-2</v>
      </c>
      <c r="Y57" s="35" t="str">
        <f>IFERROR(VLOOKUP($A57,[1]Morningstar!$A$2:$F$477,5,FALSE),"n/a")</f>
        <v>n/a</v>
      </c>
      <c r="Z57" s="34" t="str">
        <f>IFERROR(VLOOKUP($A57,[1]Morningstar!$A$2:$F$477,6,FALSE),"n/a")</f>
        <v>n/a</v>
      </c>
    </row>
    <row r="58" spans="1:26">
      <c r="A58" s="21" t="s">
        <v>288</v>
      </c>
      <c r="B58" s="22" t="s">
        <v>43</v>
      </c>
      <c r="C58" s="46" t="str">
        <f>VLOOKUP(A58,'[1]MFSA List'!$A$2:$B$152,2,FALSE)</f>
        <v>XTB WE1 4.75% Mar-20</v>
      </c>
      <c r="D58" s="24"/>
      <c r="E58" s="7"/>
      <c r="F58" s="25" t="str">
        <f>VLOOKUP(A58,'[1]MFSA List'!$A$2:$I$152,6,FALSE)</f>
        <v>n/a</v>
      </c>
      <c r="G58" s="26">
        <f>VLOOKUP(A58,'[1]MFSA List'!$A$2:$J$184,8,FALSE)/1000000</f>
        <v>6.0323099999999998</v>
      </c>
      <c r="H58" s="25">
        <f>VLOOKUP(A58,'[1]MFSA List'!$A$2:$N$147,14,FALSE)/1000000</f>
        <v>5.13E-3</v>
      </c>
      <c r="I58" s="26">
        <f>VLOOKUP(A58,'[1]MFSA List'!$A$2:$R$147,18,FALSE)/1000000</f>
        <v>0</v>
      </c>
      <c r="J58" s="27">
        <f>VLOOKUP(A58,[1]IRESS!$A$10:$F$875,5,FALSE)</f>
        <v>160275.63999999998</v>
      </c>
      <c r="K58" s="28">
        <f>VLOOKUP(A58,[1]IRESS!$A$11:$G$684,7,FALSE)</f>
        <v>1514</v>
      </c>
      <c r="L58" s="27">
        <f>VLOOKUP(A58,[1]IRESS!$A$10:$F$875,4,FALSE)</f>
        <v>5</v>
      </c>
      <c r="M58" s="29">
        <f t="shared" si="1"/>
        <v>2.6569529748968469E-2</v>
      </c>
      <c r="N58" s="30">
        <f>_xlfn.IFNA(VLOOKUP(A58,[1]Spreads!$A:$G,2,FALSE),"n/a")</f>
        <v>2.5308780594512597E-3</v>
      </c>
      <c r="O58" s="28">
        <f>IFERROR(VLOOKUP($A58,[1]Spreads!$A:$G,5,FALSE)/1000,"-")</f>
        <v>206.56</v>
      </c>
      <c r="P58" s="27">
        <f>IFERROR(VLOOKUP($A58,[1]Spreads!$A:$G,6,FALSE)/1000,"-")</f>
        <v>192.04814999999999</v>
      </c>
      <c r="R58" s="32">
        <f>VLOOKUP($A58,[1]IRESS!$A$11:$AE$696,6,FALSE)/100</f>
        <v>105.73</v>
      </c>
      <c r="S58" s="33">
        <f>VLOOKUP($A58,[1]IRESS!$A$11:$AE$696,21,FALSE)/100</f>
        <v>108.62</v>
      </c>
      <c r="T58" s="32">
        <f>VLOOKUP($A58,[1]IRESS!$A$11:$AE$696,22,FALSE)/100</f>
        <v>105.14</v>
      </c>
      <c r="V58" s="34">
        <f>IFERROR((VLOOKUP($A58,[1]IRESS!$A$11:$AE$696,20,FALSE)/100)/R58,"n/a")</f>
        <v>4.492575427976922E-2</v>
      </c>
      <c r="W58" s="35">
        <f>IFERROR(VLOOKUP($A58,[1]Morningstar!$A$2:$F$477,3,FALSE),"n/a")</f>
        <v>2.8999999999999998E-3</v>
      </c>
      <c r="X58" s="34">
        <f>IFERROR(VLOOKUP($A58,[1]Morningstar!$A$2:$F$477,4,FALSE),"n/a")</f>
        <v>2.6499999999999999E-2</v>
      </c>
      <c r="Y58" s="35">
        <f>IFERROR(VLOOKUP($A58,[1]Morningstar!$A$2:$F$477,5,FALSE),"n/a")</f>
        <v>2.4799999999999999E-2</v>
      </c>
      <c r="Z58" s="34" t="str">
        <f>IFERROR(VLOOKUP($A58,[1]Morningstar!$A$2:$F$477,6,FALSE),"n/a")</f>
        <v>n/a</v>
      </c>
    </row>
    <row r="59" spans="1:26">
      <c r="A59" s="21" t="s">
        <v>289</v>
      </c>
      <c r="B59" s="22" t="s">
        <v>43</v>
      </c>
      <c r="C59" s="46" t="str">
        <f>VLOOKUP(A59,'[1]MFSA List'!$A$2:$B$152,2,FALSE)</f>
        <v>XTB WES 6.25% Mar-19</v>
      </c>
      <c r="D59" s="24"/>
      <c r="E59" s="7"/>
      <c r="F59" s="25" t="str">
        <f>VLOOKUP(A59,'[1]MFSA List'!$A$2:$I$152,6,FALSE)</f>
        <v>n/a</v>
      </c>
      <c r="G59" s="26">
        <f>VLOOKUP(A59,'[1]MFSA List'!$A$2:$J$184,8,FALSE)/1000000</f>
        <v>1.5726</v>
      </c>
      <c r="H59" s="25">
        <f>VLOOKUP(A59,'[1]MFSA List'!$A$2:$N$147,14,FALSE)/1000000</f>
        <v>1.1999999999999999E-3</v>
      </c>
      <c r="I59" s="26">
        <f>VLOOKUP(A59,'[1]MFSA List'!$A$2:$R$147,18,FALSE)/1000000</f>
        <v>0</v>
      </c>
      <c r="J59" s="27">
        <f>VLOOKUP(A59,[1]IRESS!$A$10:$F$875,5,FALSE)</f>
        <v>235017.38</v>
      </c>
      <c r="K59" s="28">
        <f>VLOOKUP(A59,[1]IRESS!$A$11:$G$684,7,FALSE)</f>
        <v>2244</v>
      </c>
      <c r="L59" s="27">
        <f>VLOOKUP(A59,[1]IRESS!$A$10:$F$875,4,FALSE)</f>
        <v>4</v>
      </c>
      <c r="M59" s="29">
        <f t="shared" si="1"/>
        <v>0.14944511000890245</v>
      </c>
      <c r="N59" s="30">
        <f>_xlfn.IFNA(VLOOKUP(A59,[1]Spreads!$A:$G,2,FALSE),"n/a")</f>
        <v>1.5191333641090398E-3</v>
      </c>
      <c r="O59" s="28">
        <f>IFERROR(VLOOKUP($A59,[1]Spreads!$A:$G,5,FALSE)/1000,"-")</f>
        <v>235.74784500000001</v>
      </c>
      <c r="P59" s="27">
        <f>IFERROR(VLOOKUP($A59,[1]Spreads!$A:$G,6,FALSE)/1000,"-")</f>
        <v>106.48241</v>
      </c>
      <c r="R59" s="32">
        <f>VLOOKUP($A59,[1]IRESS!$A$11:$AE$696,6,FALSE)/100</f>
        <v>104.76</v>
      </c>
      <c r="S59" s="33">
        <f>VLOOKUP($A59,[1]IRESS!$A$11:$AE$696,21,FALSE)/100</f>
        <v>109.43</v>
      </c>
      <c r="T59" s="32">
        <f>VLOOKUP($A59,[1]IRESS!$A$11:$AE$696,22,FALSE)/100</f>
        <v>104.33</v>
      </c>
      <c r="V59" s="34">
        <f>IFERROR((VLOOKUP($A59,[1]IRESS!$A$11:$AE$696,20,FALSE)/100)/R59,"n/a")</f>
        <v>5.9660175639557077E-2</v>
      </c>
      <c r="W59" s="35">
        <f>IFERROR(VLOOKUP($A59,[1]Morningstar!$A$2:$F$477,3,FALSE),"n/a")</f>
        <v>1.1999999999999999E-3</v>
      </c>
      <c r="X59" s="34">
        <f>IFERROR(VLOOKUP($A59,[1]Morningstar!$A$2:$F$477,4,FALSE),"n/a")</f>
        <v>2.1399999999999999E-2</v>
      </c>
      <c r="Y59" s="35">
        <f>IFERROR(VLOOKUP($A59,[1]Morningstar!$A$2:$F$477,5,FALSE),"n/a")</f>
        <v>1.8499999999999999E-2</v>
      </c>
      <c r="Z59" s="34" t="str">
        <f>IFERROR(VLOOKUP($A59,[1]Morningstar!$A$2:$F$477,6,FALSE),"n/a")</f>
        <v>n/a</v>
      </c>
    </row>
    <row r="60" spans="1:26">
      <c r="A60" s="21" t="s">
        <v>290</v>
      </c>
      <c r="B60" s="22" t="s">
        <v>43</v>
      </c>
      <c r="C60" s="46" t="str">
        <f>VLOOKUP(A60,'[1]MFSA List'!$A$2:$B$152,2,FALSE)</f>
        <v>XTB WOW 6.00% Mar-19</v>
      </c>
      <c r="D60" s="24"/>
      <c r="E60" s="7"/>
      <c r="F60" s="25" t="str">
        <f>VLOOKUP(A60,'[1]MFSA List'!$A$2:$I$152,6,FALSE)</f>
        <v>n/a</v>
      </c>
      <c r="G60" s="26">
        <f>VLOOKUP(A60,'[1]MFSA List'!$A$2:$J$184,8,FALSE)/1000000</f>
        <v>6.2712000000000003</v>
      </c>
      <c r="H60" s="25">
        <f>VLOOKUP(A60,'[1]MFSA List'!$A$2:$N$147,14,FALSE)/1000000</f>
        <v>0</v>
      </c>
      <c r="I60" s="26">
        <f>VLOOKUP(A60,'[1]MFSA List'!$A$2:$R$147,18,FALSE)/1000000</f>
        <v>0</v>
      </c>
      <c r="J60" s="27">
        <f>VLOOKUP(A60,[1]IRESS!$A$10:$F$875,5,FALSE)</f>
        <v>23827.990000000005</v>
      </c>
      <c r="K60" s="28">
        <f>VLOOKUP(A60,[1]IRESS!$A$11:$G$684,7,FALSE)</f>
        <v>228</v>
      </c>
      <c r="L60" s="27">
        <f>VLOOKUP(A60,[1]IRESS!$A$10:$F$875,4,FALSE)</f>
        <v>4</v>
      </c>
      <c r="M60" s="29">
        <f t="shared" si="1"/>
        <v>3.7995901900752657E-3</v>
      </c>
      <c r="N60" s="30">
        <f>_xlfn.IFNA(VLOOKUP(A60,[1]Spreads!$A:$G,2,FALSE),"n/a")</f>
        <v>3.0994495478774598E-3</v>
      </c>
      <c r="O60" s="28">
        <f>IFERROR(VLOOKUP($A60,[1]Spreads!$A:$G,5,FALSE)/1000,"-")</f>
        <v>239.33490176470499</v>
      </c>
      <c r="P60" s="27">
        <f>IFERROR(VLOOKUP($A60,[1]Spreads!$A:$G,6,FALSE)/1000,"-")</f>
        <v>211.52510647058801</v>
      </c>
      <c r="R60" s="32">
        <f>VLOOKUP($A60,[1]IRESS!$A$11:$AE$696,6,FALSE)/100</f>
        <v>104.52</v>
      </c>
      <c r="S60" s="33">
        <f>VLOOKUP($A60,[1]IRESS!$A$11:$AE$696,21,FALSE)/100</f>
        <v>108.84</v>
      </c>
      <c r="T60" s="32">
        <f>VLOOKUP($A60,[1]IRESS!$A$11:$AE$696,22,FALSE)/100</f>
        <v>103.81</v>
      </c>
      <c r="V60" s="34">
        <f>IFERROR((VLOOKUP($A60,[1]IRESS!$A$11:$AE$696,20,FALSE)/100)/R60,"n/a")</f>
        <v>5.7405281285878303E-2</v>
      </c>
      <c r="W60" s="35">
        <f>IFERROR(VLOOKUP($A60,[1]Morningstar!$A$2:$F$477,3,FALSE),"n/a")</f>
        <v>4.3E-3</v>
      </c>
      <c r="X60" s="34">
        <f>IFERROR(VLOOKUP($A60,[1]Morningstar!$A$2:$F$477,4,FALSE),"n/a")</f>
        <v>2.3300000000000001E-2</v>
      </c>
      <c r="Y60" s="35">
        <f>IFERROR(VLOOKUP($A60,[1]Morningstar!$A$2:$F$477,5,FALSE),"n/a")</f>
        <v>1.9699999999999999E-2</v>
      </c>
      <c r="Z60" s="34" t="str">
        <f>IFERROR(VLOOKUP($A60,[1]Morningstar!$A$2:$F$477,6,FALSE),"n/a")</f>
        <v>n/a</v>
      </c>
    </row>
    <row r="61" spans="1:26" s="36" customFormat="1">
      <c r="A61" s="37" t="s">
        <v>225</v>
      </c>
      <c r="B61" s="53"/>
      <c r="C61" s="53"/>
      <c r="D61" s="53"/>
      <c r="E61" s="7"/>
      <c r="F61" s="37"/>
      <c r="G61" s="38"/>
      <c r="H61" s="38"/>
      <c r="I61" s="38"/>
      <c r="J61" s="38"/>
      <c r="K61" s="38"/>
      <c r="L61" s="38"/>
      <c r="M61" s="38"/>
      <c r="N61" s="38"/>
      <c r="O61" s="38"/>
      <c r="P61" s="103"/>
      <c r="Q61" s="7"/>
      <c r="R61" s="37"/>
      <c r="S61" s="53"/>
      <c r="T61" s="53"/>
      <c r="U61" s="7"/>
      <c r="V61" s="37"/>
      <c r="W61" s="53"/>
      <c r="X61" s="53"/>
      <c r="Y61" s="53"/>
      <c r="Z61" s="53"/>
    </row>
    <row r="62" spans="1:26">
      <c r="A62" s="21" t="s">
        <v>226</v>
      </c>
      <c r="B62" s="22" t="s">
        <v>227</v>
      </c>
      <c r="C62" s="46" t="str">
        <f>VLOOKUP((A62&amp;".ASX"),[1]IRESS!$J$11:$R$681,8,FALSE)</f>
        <v>S&amp;P/ASX 200 Accumulation</v>
      </c>
      <c r="D62" s="24"/>
      <c r="E62" s="7"/>
      <c r="F62" s="25"/>
      <c r="G62" s="26"/>
      <c r="H62" s="25"/>
      <c r="I62" s="26"/>
      <c r="J62" s="27"/>
      <c r="K62" s="28"/>
      <c r="L62" s="27"/>
      <c r="M62" s="29"/>
      <c r="N62" s="30"/>
      <c r="O62" s="104"/>
      <c r="P62" s="105"/>
      <c r="R62" s="32">
        <f>VLOOKUP(($A62&amp;".ASX"),[1]IRESS!$AF$11:$AG$681,2,FALSE)</f>
        <v>63015.407839308253</v>
      </c>
      <c r="S62" s="33">
        <f>VLOOKUP($A62,[1]IRESS!$A$11:$AE$696,21,FALSE)</f>
        <v>63270.451990326314</v>
      </c>
      <c r="T62" s="32">
        <f>VLOOKUP($A62,[1]IRESS!$A$11:$AE$696,22,FALSE)</f>
        <v>55296.57681594212</v>
      </c>
      <c r="V62" s="34"/>
      <c r="W62" s="35">
        <f>IFERROR(($R62-VLOOKUP($A62,[1]IRESS!$A$11:$AE$696,25,FALSE))/(VLOOKUP($A62,[1]IRESS!$A$11:$AE$696,25,FALSE)),"n/a")</f>
        <v>3.7461315862249253E-2</v>
      </c>
      <c r="X62" s="34">
        <f>IFERROR(($R62-VLOOKUP($A62,[1]IRESS!$A$11:$AE$696,27,FALSE))/(VLOOKUP($A62,[1]IRESS!$A$11:$AE$696,27,FALSE)),"n/a")</f>
        <v>0.13014760443980347</v>
      </c>
      <c r="Y62" s="55">
        <f>IFERROR((($R62/VLOOKUP($A62,[1]IRESS!$A$11:$AE$696,29,FALSE))^(1/3)-1),"n/a")</f>
        <v>9.0427391805817159E-2</v>
      </c>
      <c r="Z62" s="34">
        <f>IFERROR((($R62/VLOOKUP($A62,[1]IRESS!$A$11:$AE$696,31,FALSE))^(1/5)-1),"n/a")</f>
        <v>9.9799624905136719E-2</v>
      </c>
    </row>
    <row r="63" spans="1:26">
      <c r="A63" s="21" t="s">
        <v>228</v>
      </c>
      <c r="B63" s="22" t="s">
        <v>227</v>
      </c>
      <c r="C63" s="46" t="str">
        <f>VLOOKUP((A63&amp;".ASX"),[1]IRESS!$J$11:$R$681,8,FALSE)</f>
        <v>S&amp;P/ASX Small Ords Accumulation</v>
      </c>
      <c r="D63" s="24"/>
      <c r="E63" s="7"/>
      <c r="F63" s="25"/>
      <c r="G63" s="26"/>
      <c r="H63" s="25"/>
      <c r="I63" s="26"/>
      <c r="J63" s="27"/>
      <c r="K63" s="28"/>
      <c r="L63" s="27"/>
      <c r="M63" s="29"/>
      <c r="N63" s="30"/>
      <c r="O63" s="104"/>
      <c r="P63" s="105"/>
      <c r="R63" s="32">
        <f>VLOOKUP(($A63&amp;".ASX"),[1]IRESS!$AF$11:$AG$681,2,FALSE)</f>
        <v>8140.5090054170332</v>
      </c>
      <c r="S63" s="33">
        <f>VLOOKUP($A63,[1]IRESS!$A$11:$AE$696,21,FALSE)/100</f>
        <v>82.857830213919186</v>
      </c>
      <c r="T63" s="32">
        <f>VLOOKUP($A63,[1]IRESS!$A$11:$AE$696,22,FALSE)/100</f>
        <v>64.883292450688103</v>
      </c>
      <c r="V63" s="34"/>
      <c r="W63" s="35">
        <f>IFERROR(($R63-VLOOKUP($A63,[1]IRESS!$A$11:$AE$696,25,FALSE))/(VLOOKUP($A63,[1]IRESS!$A$11:$AE$696,25,FALSE)),"n/a")</f>
        <v>2.089624394647829E-2</v>
      </c>
      <c r="X63" s="34">
        <f>IFERROR(($R63-VLOOKUP($A63,[1]IRESS!$A$11:$AE$696,27,FALSE))/(VLOOKUP($A63,[1]IRESS!$A$11:$AE$696,27,FALSE)),"n/a")</f>
        <v>0.24246215053522574</v>
      </c>
      <c r="Y63" s="55">
        <f>IFERROR((($R63/VLOOKUP($A63,[1]IRESS!$A$11:$AE$696,29,FALSE))^(1/3)-1),"n/a")</f>
        <v>0.15005367378215362</v>
      </c>
      <c r="Z63" s="34">
        <f>IFERROR((($R63/VLOOKUP($A63,[1]IRESS!$A$11:$AE$696,31,FALSE))^(1/5)-1),"n/a")</f>
        <v>0.11562181573593877</v>
      </c>
    </row>
    <row r="64" spans="1:26">
      <c r="A64" s="21" t="s">
        <v>229</v>
      </c>
      <c r="B64" s="22" t="s">
        <v>227</v>
      </c>
      <c r="C64" s="46" t="str">
        <f>VLOOKUP((A64&amp;".ASX"),[1]IRESS!$J$11:$R$681,8,FALSE)</f>
        <v>S&amp;P/ASX 200 A-REIT Accumulation</v>
      </c>
      <c r="D64" s="24"/>
      <c r="E64" s="7"/>
      <c r="F64" s="25"/>
      <c r="G64" s="26"/>
      <c r="H64" s="25"/>
      <c r="I64" s="26"/>
      <c r="J64" s="27"/>
      <c r="K64" s="28"/>
      <c r="L64" s="27"/>
      <c r="M64" s="29"/>
      <c r="N64" s="30"/>
      <c r="O64" s="104"/>
      <c r="P64" s="105"/>
      <c r="R64" s="32">
        <f>VLOOKUP(($A64&amp;".ASX"),[1]IRESS!$AF$11:$AG$681,2,FALSE)</f>
        <v>48604.905129330422</v>
      </c>
      <c r="S64" s="33">
        <f>VLOOKUP($A64,[1]IRESS!$A$11:$AE$696,21,FALSE)/100</f>
        <v>490.78929650724524</v>
      </c>
      <c r="T64" s="32">
        <f>VLOOKUP($A64,[1]IRESS!$A$11:$AE$696,22,FALSE)/100</f>
        <v>414.6468147361839</v>
      </c>
      <c r="V64" s="34"/>
      <c r="W64" s="35">
        <f>IFERROR(($R64-VLOOKUP($A64,[1]IRESS!$A$11:$AE$696,25,FALSE))/(VLOOKUP($A64,[1]IRESS!$A$11:$AE$696,25,FALSE)),"n/a")</f>
        <v>2.3338225544838796E-2</v>
      </c>
      <c r="X64" s="34">
        <f>IFERROR(($R64-VLOOKUP($A64,[1]IRESS!$A$11:$AE$696,27,FALSE))/(VLOOKUP($A64,[1]IRESS!$A$11:$AE$696,27,FALSE)),"n/a")</f>
        <v>0.13038443354059726</v>
      </c>
      <c r="Y64" s="55">
        <f>IFERROR((($R64/VLOOKUP($A64,[1]IRESS!$A$11:$AE$696,29,FALSE))^(1/3)-1),"n/a")</f>
        <v>9.6953604547080019E-2</v>
      </c>
      <c r="Z64" s="34">
        <f>IFERROR((($R64/VLOOKUP($A64,[1]IRESS!$A$11:$AE$696,31,FALSE))^(1/5)-1),"n/a")</f>
        <v>0.12009433339785569</v>
      </c>
    </row>
    <row r="65" spans="1:26">
      <c r="A65" s="21" t="s">
        <v>230</v>
      </c>
      <c r="B65" s="22" t="s">
        <v>227</v>
      </c>
      <c r="C65" s="46" t="str">
        <f>VLOOKUP((A65&amp;".ASX"),[1]IRESS!$J$11:$R$681,8,FALSE)</f>
        <v>S&amp;P/ASX Infrastructure Index Accumulation</v>
      </c>
      <c r="D65" s="24"/>
      <c r="E65" s="7"/>
      <c r="F65" s="25"/>
      <c r="G65" s="26"/>
      <c r="H65" s="25"/>
      <c r="I65" s="26"/>
      <c r="J65" s="27"/>
      <c r="K65" s="28"/>
      <c r="L65" s="27"/>
      <c r="M65" s="29"/>
      <c r="N65" s="30"/>
      <c r="O65" s="104"/>
      <c r="P65" s="105"/>
      <c r="R65" s="32">
        <f>VLOOKUP(($A65&amp;".ASX"),[1]IRESS!$AF$11:$AG$681,2,FALSE)</f>
        <v>443.84317103253943</v>
      </c>
      <c r="S65" s="33">
        <f>VLOOKUP($A65,[1]IRESS!$A$11:$AE$696,21,FALSE)/100</f>
        <v>4.4791295489044334</v>
      </c>
      <c r="T65" s="32">
        <f>VLOOKUP($A65,[1]IRESS!$A$11:$AE$696,22,FALSE)/100</f>
        <v>3.8786031043183882</v>
      </c>
      <c r="V65" s="34"/>
      <c r="W65" s="35">
        <f>IFERROR(($R65-VLOOKUP($A65,[1]IRESS!$A$11:$AE$696,25,FALSE))/(VLOOKUP($A65,[1]IRESS!$A$11:$AE$696,25,FALSE)),"n/a")</f>
        <v>6.1343358299678984E-2</v>
      </c>
      <c r="X65" s="34">
        <f>IFERROR(($R65-VLOOKUP($A65,[1]IRESS!$A$11:$AE$696,27,FALSE))/(VLOOKUP($A65,[1]IRESS!$A$11:$AE$696,27,FALSE)),"n/a")</f>
        <v>8.7252714164183509E-2</v>
      </c>
      <c r="Y65" s="55">
        <f>IFERROR((($R65/VLOOKUP($A65,[1]IRESS!$A$11:$AE$696,29,FALSE))^(1/3)-1),"n/a")</f>
        <v>0.11668931747853328</v>
      </c>
      <c r="Z65" s="34">
        <f>IFERROR((($R65/VLOOKUP($A65,[1]IRESS!$A$11:$AE$696,31,FALSE))^(1/5)-1),"n/a")</f>
        <v>0.13738343638890416</v>
      </c>
    </row>
    <row r="66" spans="1:26">
      <c r="A66" s="21" t="s">
        <v>231</v>
      </c>
      <c r="B66" s="22" t="s">
        <v>227</v>
      </c>
      <c r="C66" s="46" t="str">
        <f>VLOOKUP((A66&amp;".ASX"),[1]IRESS!$J$11:$R$681,8,FALSE)</f>
        <v>S&amp;P/ASX Aust Fixed Int Idx Total Return</v>
      </c>
      <c r="D66" s="24"/>
      <c r="E66" s="7"/>
      <c r="F66" s="25"/>
      <c r="G66" s="26"/>
      <c r="H66" s="25"/>
      <c r="I66" s="26"/>
      <c r="J66" s="27"/>
      <c r="K66" s="28"/>
      <c r="L66" s="27"/>
      <c r="M66" s="29"/>
      <c r="N66" s="30"/>
      <c r="O66" s="104"/>
      <c r="P66" s="105"/>
      <c r="R66" s="32">
        <f>VLOOKUP(($A66&amp;".ASX"),[1]IRESS!$AF$11:$AG$681,2,FALSE)</f>
        <v>145.96627000000001</v>
      </c>
      <c r="S66" s="33">
        <f>VLOOKUP($A66,[1]IRESS!$A$11:$AE$696,21,FALSE)/100</f>
        <v>0</v>
      </c>
      <c r="T66" s="32">
        <f>VLOOKUP($A66,[1]IRESS!$A$11:$AE$696,22,FALSE)/100</f>
        <v>0</v>
      </c>
      <c r="V66" s="34"/>
      <c r="W66" s="35">
        <f>IFERROR(($R66-VLOOKUP($A66,[1]IRESS!$A$11:$AE$696,25,FALSE))/(VLOOKUP($A66,[1]IRESS!$A$11:$AE$696,25,FALSE)),"n/a")</f>
        <v>4.114933339221926E-3</v>
      </c>
      <c r="X66" s="34">
        <f>IFERROR(($R66-VLOOKUP($A66,[1]IRESS!$A$11:$AE$696,27,FALSE))/(VLOOKUP($A66,[1]IRESS!$A$11:$AE$696,27,FALSE)),"n/a")</f>
        <v>3.1123896548440579E-2</v>
      </c>
      <c r="Y66" s="55">
        <f>IFERROR((($R66/VLOOKUP($A66,[1]IRESS!$A$11:$AE$696,29,FALSE))^(1/3)-1),"n/a")</f>
        <v>3.4877316646126921E-2</v>
      </c>
      <c r="Z66" s="34">
        <f>IFERROR((($R66/VLOOKUP($A66,[1]IRESS!$A$11:$AE$696,31,FALSE))^(1/5)-1),"n/a")</f>
        <v>4.561934533266454E-2</v>
      </c>
    </row>
    <row r="67" spans="1:26">
      <c r="A67" s="21" t="s">
        <v>232</v>
      </c>
      <c r="B67" s="22" t="s">
        <v>227</v>
      </c>
      <c r="C67" s="46" t="str">
        <f>VLOOKUP((A67&amp;".ASX"),[1]IRESS!$J$11:$R$681,8,FALSE)</f>
        <v>S&amp;P/ASX Govt Bond Idx Total Return</v>
      </c>
      <c r="D67" s="24"/>
      <c r="E67" s="7"/>
      <c r="F67" s="25"/>
      <c r="G67" s="26"/>
      <c r="H67" s="25"/>
      <c r="I67" s="26"/>
      <c r="J67" s="27"/>
      <c r="K67" s="28"/>
      <c r="L67" s="27"/>
      <c r="M67" s="29"/>
      <c r="N67" s="30"/>
      <c r="O67" s="104"/>
      <c r="P67" s="105"/>
      <c r="R67" s="32">
        <f>VLOOKUP(($A67&amp;".ASX"),[1]IRESS!$AF$11:$AG$681,2,FALSE)</f>
        <v>145.29893000000001</v>
      </c>
      <c r="S67" s="33">
        <f>VLOOKUP($A67,[1]IRESS!$A$11:$AE$696,21,FALSE)/100</f>
        <v>0</v>
      </c>
      <c r="T67" s="32">
        <f>VLOOKUP($A67,[1]IRESS!$A$11:$AE$696,22,FALSE)/100</f>
        <v>0</v>
      </c>
      <c r="V67" s="34"/>
      <c r="W67" s="35">
        <f>IFERROR(($R67-VLOOKUP($A67,[1]IRESS!$A$11:$AE$696,25,FALSE))/(VLOOKUP($A67,[1]IRESS!$A$11:$AE$696,25,FALSE)),"n/a")</f>
        <v>4.4473217766890479E-3</v>
      </c>
      <c r="X67" s="34">
        <f>IFERROR(($R67-VLOOKUP($A67,[1]IRESS!$A$11:$AE$696,27,FALSE))/(VLOOKUP($A67,[1]IRESS!$A$11:$AE$696,27,FALSE)),"n/a")</f>
        <v>3.0246793785261752E-2</v>
      </c>
      <c r="Y67" s="55">
        <f>IFERROR((($R67/VLOOKUP($A67,[1]IRESS!$A$11:$AE$696,29,FALSE))^(1/3)-1),"n/a")</f>
        <v>3.415756002952075E-2</v>
      </c>
      <c r="Z67" s="34">
        <f>IFERROR((($R67/VLOOKUP($A67,[1]IRESS!$A$11:$AE$696,31,FALSE))^(1/5)-1),"n/a")</f>
        <v>4.4846946944204102E-2</v>
      </c>
    </row>
    <row r="68" spans="1:26">
      <c r="A68" s="106" t="s">
        <v>233</v>
      </c>
      <c r="B68" s="106"/>
      <c r="C68" s="106"/>
      <c r="D68" s="106"/>
      <c r="E68" s="106"/>
      <c r="F68" s="106"/>
      <c r="G68" s="106"/>
      <c r="H68" s="106"/>
      <c r="I68" s="106"/>
      <c r="J68" s="106"/>
      <c r="K68" s="106"/>
      <c r="L68" s="106"/>
      <c r="M68" s="106"/>
      <c r="N68" s="106"/>
      <c r="O68" s="106"/>
      <c r="P68" s="106"/>
    </row>
    <row r="69" spans="1:26">
      <c r="A69" s="66" t="s">
        <v>234</v>
      </c>
      <c r="B69" s="66"/>
      <c r="C69" s="67"/>
      <c r="F69" s="69" t="s">
        <v>235</v>
      </c>
      <c r="H69" s="70"/>
      <c r="I69" s="70"/>
      <c r="J69" s="71"/>
      <c r="L69" s="69" t="s">
        <v>236</v>
      </c>
      <c r="M69" s="72"/>
      <c r="N69" s="73"/>
      <c r="O69" s="72"/>
      <c r="P69" s="72"/>
      <c r="R69" s="72"/>
      <c r="S69" s="72"/>
      <c r="T69" s="72"/>
      <c r="V69" s="74"/>
      <c r="W69" s="74"/>
      <c r="X69" s="74"/>
      <c r="Y69" s="74"/>
    </row>
    <row r="70" spans="1:26" ht="14.45" customHeight="1">
      <c r="A70" s="75" t="s">
        <v>237</v>
      </c>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spans="1:26">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spans="1:26">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spans="1:26">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spans="1:26">
      <c r="A74" s="76" t="str">
        <f>"All values are as at "&amp;TEXT([1]Setup!$K$4,"mmm-yy")&amp;". Month Total return, 1/3&amp;5 year annualised return data provided by Morningstar."</f>
        <v>All values are as at Jun-18. Month Total return, 1/3&amp;5 year annualised return data provided by Morningstar.</v>
      </c>
      <c r="B74" s="77"/>
      <c r="C74" s="78"/>
      <c r="D74" s="79"/>
      <c r="E74" s="79"/>
      <c r="F74" s="80"/>
      <c r="G74" s="80"/>
      <c r="H74" s="80"/>
      <c r="I74" s="80"/>
      <c r="J74" s="72"/>
      <c r="K74" s="72"/>
      <c r="L74" s="72"/>
      <c r="M74" s="72"/>
      <c r="N74" s="73"/>
      <c r="O74" s="72"/>
      <c r="P74" s="72"/>
      <c r="R74" s="72"/>
      <c r="S74" s="72"/>
      <c r="T74" s="72"/>
      <c r="V74" s="74"/>
      <c r="W74" s="74"/>
      <c r="X74" s="74"/>
      <c r="Y74" s="74"/>
    </row>
    <row r="75" spans="1:26">
      <c r="A75" s="107" t="s">
        <v>238</v>
      </c>
      <c r="B75" s="107"/>
      <c r="C75" s="107"/>
      <c r="D75" s="107"/>
      <c r="E75" s="107"/>
      <c r="F75" s="107"/>
      <c r="G75" s="107"/>
      <c r="H75" s="107"/>
      <c r="I75" s="107"/>
      <c r="J75" s="107"/>
      <c r="K75" s="107"/>
      <c r="L75" s="107"/>
      <c r="M75" s="107"/>
      <c r="N75" s="107"/>
      <c r="O75" s="107"/>
      <c r="P75" s="107"/>
      <c r="R75" s="83"/>
      <c r="S75" s="83"/>
      <c r="T75" s="83"/>
      <c r="V75" s="84"/>
      <c r="W75" s="84"/>
      <c r="X75" s="84"/>
      <c r="Y75" s="84"/>
    </row>
    <row r="76" spans="1:26" ht="15.75">
      <c r="A76" s="87" t="s">
        <v>239</v>
      </c>
      <c r="B76" s="77"/>
      <c r="C76" s="78"/>
      <c r="D76" s="79"/>
      <c r="E76" s="85"/>
      <c r="F76" s="80"/>
      <c r="G76" s="80"/>
      <c r="H76" s="80"/>
      <c r="I76" s="80"/>
      <c r="J76" s="72"/>
      <c r="K76" s="72"/>
      <c r="L76" s="72"/>
      <c r="M76" s="72"/>
      <c r="N76" s="73"/>
      <c r="O76" s="72"/>
      <c r="P76" s="72"/>
      <c r="R76" s="72"/>
      <c r="S76" s="72"/>
      <c r="T76" s="72"/>
      <c r="V76" s="74"/>
      <c r="W76" s="74"/>
      <c r="X76" s="74"/>
      <c r="Y76" s="74"/>
    </row>
    <row r="77" spans="1:26">
      <c r="A77" s="77"/>
      <c r="B77" s="66"/>
      <c r="C77" s="88"/>
      <c r="D77" s="89"/>
      <c r="E77" s="89"/>
      <c r="F77" s="70"/>
      <c r="G77" s="90"/>
      <c r="H77" s="90"/>
      <c r="I77" s="90"/>
      <c r="J77" s="90"/>
      <c r="K77" s="90"/>
      <c r="P77" s="60"/>
      <c r="R77" s="60"/>
      <c r="S77" s="60"/>
      <c r="T77" s="60"/>
      <c r="V77" s="62"/>
      <c r="W77" s="62"/>
      <c r="X77" s="62"/>
      <c r="Y77" s="62"/>
    </row>
    <row r="78" spans="1:26">
      <c r="B78" s="91"/>
      <c r="C78" s="91"/>
      <c r="D78" s="91"/>
      <c r="E78" s="91"/>
      <c r="F78" s="92"/>
      <c r="G78" s="92"/>
      <c r="H78" s="92"/>
      <c r="I78" s="92"/>
      <c r="J78" s="92"/>
      <c r="K78" s="92"/>
      <c r="L78" s="92"/>
      <c r="M78" s="92"/>
      <c r="N78" s="92"/>
      <c r="O78" s="92"/>
      <c r="P78" s="92"/>
      <c r="R78" s="92"/>
      <c r="S78" s="92"/>
      <c r="T78" s="92"/>
      <c r="V78" s="93"/>
      <c r="W78" s="93"/>
      <c r="X78" s="93"/>
      <c r="Y78" s="93"/>
    </row>
    <row r="79" spans="1:26">
      <c r="C79" s="91"/>
      <c r="D79" s="94"/>
      <c r="E79" s="94"/>
    </row>
    <row r="80" spans="1:26">
      <c r="C80" s="91"/>
      <c r="D80" s="94"/>
      <c r="E80" s="94"/>
    </row>
    <row r="81" spans="3:5">
      <c r="C81" s="91"/>
      <c r="D81" s="94"/>
      <c r="E81" s="94"/>
    </row>
  </sheetData>
  <mergeCells count="25">
    <mergeCell ref="A75:P75"/>
    <mergeCell ref="C29:D29"/>
    <mergeCell ref="C30:D30"/>
    <mergeCell ref="C31:D31"/>
    <mergeCell ref="C32:D32"/>
    <mergeCell ref="A68:P68"/>
    <mergeCell ref="A70:Z73"/>
    <mergeCell ref="C23:D23"/>
    <mergeCell ref="C24:D24"/>
    <mergeCell ref="C25:D25"/>
    <mergeCell ref="C26:D26"/>
    <mergeCell ref="C27:D27"/>
    <mergeCell ref="C28:D28"/>
    <mergeCell ref="C17:D17"/>
    <mergeCell ref="C18:D18"/>
    <mergeCell ref="C19:D19"/>
    <mergeCell ref="C20:D20"/>
    <mergeCell ref="C21:D21"/>
    <mergeCell ref="C22:D22"/>
    <mergeCell ref="C10:D10"/>
    <mergeCell ref="C12:D12"/>
    <mergeCell ref="C13:D13"/>
    <mergeCell ref="C14:D14"/>
    <mergeCell ref="C15:D15"/>
    <mergeCell ref="C16:D16"/>
  </mergeCells>
  <printOptions horizontalCentered="1"/>
  <pageMargins left="0" right="0" top="0" bottom="0" header="0.15748031496062992" footer="3.937007874015748E-2"/>
  <pageSetup paperSize="9" scale="59" fitToHeight="0" pageOrder="overThenDown" orientation="landscape" r:id="rId1"/>
  <headerFooter alignWithMargins="0"/>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9CCFF"/>
    <pageSetUpPr fitToPage="1"/>
  </sheetPr>
  <dimension ref="A1:Y256"/>
  <sheetViews>
    <sheetView showGridLines="0" view="pageBreakPreview" zoomScale="70" zoomScaleNormal="85" zoomScaleSheetLayoutView="70" workbookViewId="0">
      <pane xSplit="5" ySplit="10" topLeftCell="F11" activePane="bottomRight" state="frozen"/>
      <selection activeCell="T46" sqref="T46"/>
      <selection pane="topRight" activeCell="T46" sqref="T46"/>
      <selection pane="bottomLeft" activeCell="T46" sqref="T46"/>
      <selection pane="bottomRight" activeCell="T46" sqref="T46"/>
    </sheetView>
  </sheetViews>
  <sheetFormatPr defaultColWidth="9" defaultRowHeight="15"/>
  <cols>
    <col min="1" max="1" width="9" style="7" customWidth="1"/>
    <col min="2" max="2" width="5.5" style="7" customWidth="1"/>
    <col min="3" max="3" width="11" style="7" customWidth="1"/>
    <col min="4" max="4" width="30.75" style="68" customWidth="1"/>
    <col min="5" max="5" width="0.5" style="68" customWidth="1"/>
    <col min="6" max="6" width="6" style="64" customWidth="1"/>
    <col min="7" max="8" width="6.625" style="64" customWidth="1"/>
    <col min="9" max="9" width="7.625" style="64" customWidth="1"/>
    <col min="10" max="10" width="11" style="64" customWidth="1"/>
    <col min="11" max="11" width="10" style="64" customWidth="1"/>
    <col min="12" max="12" width="11.875" style="64" customWidth="1"/>
    <col min="13" max="14" width="8.5" style="64" hidden="1" customWidth="1"/>
    <col min="15" max="16" width="9.875" style="64" hidden="1" customWidth="1"/>
    <col min="17" max="17" width="0.5" style="7" customWidth="1"/>
    <col min="18" max="18" width="10.25" style="64" customWidth="1"/>
    <col min="19" max="19" width="0.5" style="7" customWidth="1"/>
    <col min="20" max="20" width="9.875" style="65" customWidth="1"/>
    <col min="21" max="21" width="9.625" style="65" customWidth="1"/>
    <col min="22" max="22" width="9.875" style="65" customWidth="1"/>
    <col min="23" max="23" width="10.25" style="7" customWidth="1"/>
    <col min="24" max="24" width="9.75" style="7" customWidth="1"/>
    <col min="25" max="25" width="7.875" style="7" hidden="1" customWidth="1"/>
    <col min="26" max="27" width="9.875" style="7" customWidth="1"/>
    <col min="28" max="16384" width="9" style="7"/>
  </cols>
  <sheetData>
    <row r="1" spans="1:24" s="5" customFormat="1">
      <c r="A1" s="108"/>
      <c r="B1" s="108"/>
      <c r="C1" s="108"/>
      <c r="D1" s="109"/>
      <c r="E1" s="108"/>
      <c r="F1" s="110"/>
      <c r="G1" s="110"/>
      <c r="H1" s="110"/>
      <c r="I1" s="110"/>
      <c r="J1" s="110"/>
      <c r="K1" s="110"/>
      <c r="L1" s="110"/>
      <c r="M1" s="110"/>
      <c r="N1" s="110"/>
      <c r="O1" s="110"/>
      <c r="P1" s="110"/>
      <c r="Q1" s="108"/>
      <c r="R1" s="110"/>
      <c r="S1" s="108"/>
      <c r="T1" s="111"/>
      <c r="U1" s="111"/>
      <c r="V1" s="111"/>
      <c r="W1" s="108"/>
      <c r="X1" s="108"/>
    </row>
    <row r="2" spans="1:24" s="5" customFormat="1">
      <c r="A2" s="108"/>
      <c r="B2" s="108"/>
      <c r="C2" s="108"/>
      <c r="D2" s="109"/>
      <c r="E2" s="108"/>
      <c r="F2" s="110"/>
      <c r="G2" s="110"/>
      <c r="H2" s="110"/>
      <c r="I2" s="110"/>
      <c r="J2" s="110"/>
      <c r="K2" s="110"/>
      <c r="L2" s="110"/>
      <c r="M2" s="110"/>
      <c r="N2" s="110"/>
      <c r="O2" s="110"/>
      <c r="P2" s="110"/>
      <c r="Q2" s="108"/>
      <c r="R2" s="110"/>
      <c r="S2" s="108"/>
      <c r="T2" s="111"/>
      <c r="U2" s="111"/>
      <c r="V2" s="111"/>
      <c r="W2" s="108"/>
      <c r="X2" s="108"/>
    </row>
    <row r="3" spans="1:24" s="5" customFormat="1" ht="24.6" customHeight="1">
      <c r="A3" s="108"/>
      <c r="B3" s="112"/>
      <c r="C3" s="112"/>
      <c r="D3" s="113"/>
      <c r="E3" s="113"/>
      <c r="F3" s="113"/>
      <c r="G3" s="113"/>
      <c r="H3" s="113"/>
      <c r="I3" s="113"/>
      <c r="J3" s="113"/>
      <c r="K3" s="113"/>
      <c r="L3" s="113"/>
      <c r="M3" s="113"/>
      <c r="N3" s="110"/>
      <c r="O3" s="110"/>
      <c r="P3" s="110"/>
      <c r="Q3" s="108"/>
      <c r="R3" s="110"/>
      <c r="S3" s="108"/>
      <c r="T3" s="111"/>
      <c r="U3" s="111"/>
      <c r="V3" s="111"/>
      <c r="W3" s="108"/>
      <c r="X3" s="108"/>
    </row>
    <row r="4" spans="1:24" s="5" customFormat="1" ht="24.6" customHeight="1">
      <c r="A4" s="108"/>
      <c r="B4" s="114"/>
      <c r="C4" s="114"/>
      <c r="D4" s="113"/>
      <c r="E4" s="113"/>
      <c r="F4" s="113"/>
      <c r="G4" s="113"/>
      <c r="H4" s="113"/>
      <c r="I4" s="113"/>
      <c r="J4" s="113"/>
      <c r="K4" s="113"/>
      <c r="L4" s="113"/>
      <c r="M4" s="113"/>
      <c r="N4" s="110"/>
      <c r="O4" s="110"/>
      <c r="P4" s="110"/>
      <c r="Q4" s="108"/>
      <c r="R4" s="110"/>
      <c r="S4" s="108"/>
      <c r="T4" s="111"/>
      <c r="U4" s="111"/>
      <c r="V4" s="111"/>
      <c r="W4" s="108"/>
      <c r="X4" s="108"/>
    </row>
    <row r="5" spans="1:24" s="5" customFormat="1" ht="14.45" customHeight="1">
      <c r="A5" s="108"/>
      <c r="B5" s="108"/>
      <c r="C5" s="108"/>
      <c r="D5" s="113"/>
      <c r="E5" s="113"/>
      <c r="F5" s="113"/>
      <c r="G5" s="113"/>
      <c r="H5" s="113"/>
      <c r="I5" s="113"/>
      <c r="J5" s="113"/>
      <c r="K5" s="113"/>
      <c r="L5" s="113"/>
      <c r="M5" s="113"/>
      <c r="N5" s="110"/>
      <c r="O5" s="110"/>
      <c r="P5" s="110"/>
      <c r="Q5" s="108"/>
      <c r="R5" s="110"/>
      <c r="S5" s="108"/>
      <c r="T5" s="111"/>
      <c r="U5" s="111"/>
      <c r="V5" s="111"/>
      <c r="W5" s="108"/>
      <c r="X5" s="108"/>
    </row>
    <row r="6" spans="1:24" s="5" customFormat="1" ht="14.45" customHeight="1">
      <c r="A6" s="108"/>
      <c r="B6" s="108"/>
      <c r="C6" s="108"/>
      <c r="D6" s="113"/>
      <c r="E6" s="113"/>
      <c r="F6" s="113"/>
      <c r="G6" s="113"/>
      <c r="H6" s="113"/>
      <c r="I6" s="113"/>
      <c r="J6" s="113"/>
      <c r="K6" s="113"/>
      <c r="L6" s="113"/>
      <c r="M6" s="113"/>
      <c r="N6" s="110"/>
      <c r="O6" s="110"/>
      <c r="P6" s="110"/>
      <c r="Q6" s="108"/>
      <c r="R6" s="110"/>
      <c r="S6" s="108"/>
      <c r="T6" s="111"/>
      <c r="U6" s="111"/>
      <c r="V6" s="111"/>
      <c r="W6" s="108"/>
      <c r="X6" s="108"/>
    </row>
    <row r="7" spans="1:24">
      <c r="A7" s="108"/>
      <c r="B7" s="108"/>
      <c r="C7" s="108"/>
      <c r="D7" s="109"/>
      <c r="E7" s="108"/>
      <c r="F7" s="110"/>
      <c r="G7" s="110"/>
      <c r="H7" s="110"/>
      <c r="I7" s="110"/>
      <c r="J7" s="110"/>
      <c r="K7" s="110"/>
      <c r="L7" s="110"/>
      <c r="M7" s="110"/>
      <c r="N7" s="110"/>
      <c r="O7" s="110"/>
      <c r="P7" s="110"/>
      <c r="Q7" s="108"/>
      <c r="R7" s="110"/>
      <c r="S7" s="108"/>
      <c r="T7" s="111"/>
      <c r="U7" s="111"/>
      <c r="V7" s="111"/>
      <c r="W7" s="108"/>
      <c r="X7" s="108"/>
    </row>
    <row r="8" spans="1:24" s="9" customFormat="1" ht="18" customHeight="1">
      <c r="A8" s="115" t="str">
        <f>"mFund Product Summary - "&amp;TEXT([1]Setup!$K$2,"mmmm yyyy")</f>
        <v>mFund Product Summary - June 2018</v>
      </c>
      <c r="B8" s="116"/>
      <c r="C8" s="116"/>
      <c r="D8" s="116"/>
      <c r="E8" s="116"/>
      <c r="F8" s="116"/>
      <c r="G8" s="116"/>
      <c r="H8" s="116"/>
      <c r="I8" s="116"/>
      <c r="J8" s="116"/>
      <c r="K8" s="116"/>
      <c r="L8" s="116"/>
      <c r="M8" s="116"/>
      <c r="N8" s="116"/>
      <c r="O8" s="116"/>
      <c r="P8" s="116"/>
      <c r="Q8" s="7"/>
      <c r="R8" s="116"/>
      <c r="S8" s="117"/>
      <c r="T8" s="116"/>
      <c r="U8" s="116"/>
      <c r="V8" s="116"/>
      <c r="W8" s="116"/>
      <c r="X8" s="118" t="str">
        <f>"Transaction days: "&amp;[1]Setup!$K$8&amp;" / Period ending: "&amp;TEXT([1]Setup!$K$4,"dddd, dd mmmm yyyy")</f>
        <v>Transaction days: 23 / Period ending: Friday, 29 June 2018</v>
      </c>
    </row>
    <row r="9" spans="1:24" s="45" customFormat="1" ht="18.75">
      <c r="A9" s="119" t="s">
        <v>291</v>
      </c>
      <c r="B9" s="120"/>
      <c r="C9" s="120"/>
      <c r="D9" s="120"/>
      <c r="E9" s="116"/>
      <c r="F9" s="121" t="s">
        <v>1</v>
      </c>
      <c r="G9" s="122"/>
      <c r="H9" s="122"/>
      <c r="I9" s="122"/>
      <c r="J9" s="122"/>
      <c r="K9" s="122"/>
      <c r="L9" s="122"/>
      <c r="M9" s="122"/>
      <c r="N9" s="122"/>
      <c r="O9" s="122"/>
      <c r="P9" s="122"/>
      <c r="Q9" s="7"/>
      <c r="R9" s="121" t="s">
        <v>2</v>
      </c>
      <c r="S9" s="117"/>
      <c r="T9" s="121" t="s">
        <v>3</v>
      </c>
      <c r="U9" s="120"/>
      <c r="V9" s="120"/>
      <c r="W9" s="120"/>
      <c r="X9" s="120"/>
    </row>
    <row r="10" spans="1:24" ht="45">
      <c r="A10" s="13" t="s">
        <v>4</v>
      </c>
      <c r="B10" s="13" t="s">
        <v>241</v>
      </c>
      <c r="C10" s="97" t="s">
        <v>6</v>
      </c>
      <c r="D10" s="98"/>
      <c r="E10" s="116"/>
      <c r="F10" s="16" t="s">
        <v>7</v>
      </c>
      <c r="G10" s="17" t="s">
        <v>8</v>
      </c>
      <c r="H10" s="17" t="s">
        <v>9</v>
      </c>
      <c r="I10" s="17" t="s">
        <v>10</v>
      </c>
      <c r="J10" s="17" t="s">
        <v>292</v>
      </c>
      <c r="K10" s="17" t="s">
        <v>293</v>
      </c>
      <c r="L10" s="17" t="s">
        <v>294</v>
      </c>
      <c r="M10" s="17" t="s">
        <v>14</v>
      </c>
      <c r="N10" s="17" t="s">
        <v>15</v>
      </c>
      <c r="O10" s="17" t="s">
        <v>16</v>
      </c>
      <c r="P10" s="17" t="s">
        <v>17</v>
      </c>
      <c r="R10" s="17" t="s">
        <v>295</v>
      </c>
      <c r="S10" s="117"/>
      <c r="T10" s="18" t="s">
        <v>22</v>
      </c>
      <c r="U10" s="18" t="s">
        <v>296</v>
      </c>
      <c r="V10" s="18" t="s">
        <v>23</v>
      </c>
      <c r="W10" s="18" t="s">
        <v>24</v>
      </c>
      <c r="X10" s="18" t="s">
        <v>25</v>
      </c>
    </row>
    <row r="11" spans="1:24" s="128" customFormat="1" ht="18.75">
      <c r="A11" s="123" t="s">
        <v>26</v>
      </c>
      <c r="B11" s="124"/>
      <c r="C11" s="124"/>
      <c r="D11" s="124"/>
      <c r="E11" s="116"/>
      <c r="F11" s="125"/>
      <c r="G11" s="126"/>
      <c r="H11" s="126"/>
      <c r="I11" s="126"/>
      <c r="J11" s="126"/>
      <c r="K11" s="126"/>
      <c r="L11" s="126"/>
      <c r="M11" s="126"/>
      <c r="N11" s="126"/>
      <c r="O11" s="126"/>
      <c r="P11" s="126"/>
      <c r="Q11" s="7"/>
      <c r="R11" s="125"/>
      <c r="S11" s="117"/>
      <c r="T11" s="127"/>
      <c r="U11" s="127"/>
      <c r="V11" s="127"/>
      <c r="W11" s="124"/>
      <c r="X11" s="124"/>
    </row>
    <row r="12" spans="1:24" ht="18.75">
      <c r="A12" s="129" t="s">
        <v>297</v>
      </c>
      <c r="B12" s="130" t="s">
        <v>298</v>
      </c>
      <c r="C12" s="131" t="str">
        <f>VLOOKUP(A12,'[1]mFund List'!$A$2:$B$368,2,FALSE)</f>
        <v>AMP Capital Australian Equity Income</v>
      </c>
      <c r="D12" s="132"/>
      <c r="E12" s="116"/>
      <c r="F12" s="133" t="str">
        <f>_xlfn.IFNA(VLOOKUP(A12,'[1]mFund List'!$A$2:$I$200,6,FALSE),"n/a")</f>
        <v>0.90%</v>
      </c>
      <c r="G12" s="134">
        <f>_xlfn.IFNA(VLOOKUP(A12,'[1]mFund List'!$A$2:$J$200,8,FALSE)/1000000,"n/a")</f>
        <v>1.007063347983</v>
      </c>
      <c r="H12" s="135">
        <f>_xlfn.IFNA(VLOOKUP(A12,'[1]mFund List'!$A$2:$N$200,14,FALSE)/1000000,"n/a")</f>
        <v>9.400460727549996E-2</v>
      </c>
      <c r="I12" s="134">
        <f>_xlfn.IFNA(VLOOKUP(A12,'[1]mFund List'!$A$2:$R$200,18,FALSE)/1000000,"n/a")</f>
        <v>7.3983889663500044E-2</v>
      </c>
      <c r="J12" s="136">
        <f>_xlfn.IFNA(VLOOKUP(A12,[1]IRESS!$A$10:$F$875,5,FALSE),"n/a")</f>
        <v>72218.73</v>
      </c>
      <c r="K12" s="137">
        <f>_xlfn.IFNA(VLOOKUP(A12,[1]IRESS!$A$11:$G$684,7,FALSE),"n/a")</f>
        <v>76614.049999999988</v>
      </c>
      <c r="L12" s="136">
        <f>_xlfn.IFNA(VLOOKUP(A12,[1]IRESS!$A$10:$F$875,4,FALSE),"n/a")</f>
        <v>8</v>
      </c>
      <c r="M12" s="138">
        <f>+J12/(G12*1000000)</f>
        <v>7.1712201764311562E-2</v>
      </c>
      <c r="N12" s="139" t="e">
        <f>VLOOKUP(A12,[1]Spreads!$A$1:$G$87,2,FALSE)</f>
        <v>#N/A</v>
      </c>
      <c r="O12" s="137" t="e">
        <f>VLOOKUP(A12,[1]Spreads!$A$1:$G$87,5,FALSE)/1000</f>
        <v>#N/A</v>
      </c>
      <c r="P12" s="140" t="e">
        <f>VLOOKUP(A12,[1]Spreads!$A$1:$G$87,6,FALSE)/1000</f>
        <v>#N/A</v>
      </c>
      <c r="R12" s="141">
        <f>_xlfn.IFNA(VLOOKUP($A12,[1]IRESS!$A$11:$AE$696,6,FALSE)/100,"n/a")</f>
        <v>0.96566999999999992</v>
      </c>
      <c r="S12" s="117"/>
      <c r="T12" s="142" t="str">
        <f>IF(VLOOKUP($A12,[1]FE!$A$2:$G$498,3,FALSE)="N/A","n/a",IFERROR(VLOOKUP($A12,[1]FE!$A$2:$G$498,3,FALSE),"n/a"))</f>
        <v>2.65%</v>
      </c>
      <c r="U12" s="138" t="str">
        <f>IF(VLOOKUP($A12,[1]FE!$A$2:$G$498,4,FALSE)="N/A","n/a",IFERROR(VLOOKUP($A12,[1]FE!$A$2:$G$498,4,FALSE),"n/a"))</f>
        <v>6.64%</v>
      </c>
      <c r="V12" s="142" t="str">
        <f>IF(VLOOKUP($A12,[1]FE!$A$2:$G$498,5,FALSE)="N/A","n/a",IFERROR(VLOOKUP($A12,[1]FE!$A$2:$G$498,5,FALSE),"n/a"))</f>
        <v>6.74%</v>
      </c>
      <c r="W12" s="138" t="str">
        <f>IF(VLOOKUP($A12,[1]FE!$A$2:$G$498,6,FALSE)="N/A","n/a",IFERROR(VLOOKUP($A12,[1]FE!$A$2:$G$498,6,FALSE),"n/a"))</f>
        <v>4.33%</v>
      </c>
      <c r="X12" s="142" t="str">
        <f>IF(VLOOKUP($A12,[1]FE!$A$2:$G$498,7,FALSE)="N/A","n/a",IFERROR(VLOOKUP($A12,[1]FE!$A$2:$G$498,7,FALSE),"n/a"))</f>
        <v>n/a</v>
      </c>
    </row>
    <row r="13" spans="1:24" ht="18.75">
      <c r="A13" s="129" t="s">
        <v>299</v>
      </c>
      <c r="B13" s="130" t="s">
        <v>298</v>
      </c>
      <c r="C13" s="131" t="str">
        <f>VLOOKUP(A13,'[1]mFund List'!$A$2:$B$368,2,FALSE)</f>
        <v>Armytage Australian Equity Income Fund</v>
      </c>
      <c r="D13" s="132"/>
      <c r="E13" s="116"/>
      <c r="F13" s="133" t="str">
        <f>_xlfn.IFNA(VLOOKUP(A13,'[1]mFund List'!$A$2:$I$200,6,FALSE),"n/a")</f>
        <v>0.97%</v>
      </c>
      <c r="G13" s="134">
        <f>_xlfn.IFNA(VLOOKUP(A13,'[1]mFund List'!$A$2:$J$200,8,FALSE)/1000000,"n/a")</f>
        <v>0.91999566485880002</v>
      </c>
      <c r="H13" s="135">
        <f>_xlfn.IFNA(VLOOKUP(A13,'[1]mFund List'!$A$2:$N$200,14,FALSE)/1000000,"n/a")</f>
        <v>-0.15343104706072003</v>
      </c>
      <c r="I13" s="134">
        <f>_xlfn.IFNA(VLOOKUP(A13,'[1]mFund List'!$A$2:$R$200,18,FALSE)/1000000,"n/a")</f>
        <v>-0.1884284771533799</v>
      </c>
      <c r="J13" s="136">
        <f>_xlfn.IFNA(VLOOKUP(A13,[1]IRESS!$A$10:$F$875,5,FALSE),"n/a")</f>
        <v>182807.49</v>
      </c>
      <c r="K13" s="137">
        <f>_xlfn.IFNA(VLOOKUP(A13,[1]IRESS!$A$11:$G$684,7,FALSE),"n/a")</f>
        <v>219536.8486</v>
      </c>
      <c r="L13" s="136">
        <f>_xlfn.IFNA(VLOOKUP(A13,[1]IRESS!$A$10:$F$875,4,FALSE),"n/a")</f>
        <v>2</v>
      </c>
      <c r="M13" s="138">
        <f t="shared" ref="M13:M76" si="0">+J13/(G13*1000000)</f>
        <v>0.19870472979680517</v>
      </c>
      <c r="N13" s="139" t="e">
        <f>VLOOKUP(A13,[1]Spreads!$A$1:$G$87,2,FALSE)</f>
        <v>#N/A</v>
      </c>
      <c r="O13" s="137" t="e">
        <f>VLOOKUP(A13,[1]Spreads!$A$1:$G$87,5,FALSE)/1000</f>
        <v>#N/A</v>
      </c>
      <c r="P13" s="140" t="e">
        <f>VLOOKUP(A13,[1]Spreads!$A$1:$G$87,6,FALSE)/1000</f>
        <v>#N/A</v>
      </c>
      <c r="R13" s="141">
        <f>_xlfn.IFNA(VLOOKUP($A13,[1]IRESS!$A$11:$AE$696,6,FALSE)/100,"n/a")</f>
        <v>0.85829999999999995</v>
      </c>
      <c r="S13" s="117"/>
      <c r="T13" s="142" t="str">
        <f>IF(VLOOKUP($A13,[1]FE!$A$2:$G$498,3,FALSE)="N/A","n/a",IFERROR(VLOOKUP($A13,[1]FE!$A$2:$G$498,3,FALSE),"n/a"))</f>
        <v>3.26%</v>
      </c>
      <c r="U13" s="138" t="str">
        <f>IF(VLOOKUP($A13,[1]FE!$A$2:$G$498,4,FALSE)="N/A","n/a",IFERROR(VLOOKUP($A13,[1]FE!$A$2:$G$498,4,FALSE),"n/a"))</f>
        <v>7.76%</v>
      </c>
      <c r="V13" s="142" t="str">
        <f>IF(VLOOKUP($A13,[1]FE!$A$2:$G$498,5,FALSE)="N/A","n/a",IFERROR(VLOOKUP($A13,[1]FE!$A$2:$G$498,5,FALSE),"n/a"))</f>
        <v>13.30%</v>
      </c>
      <c r="W13" s="138" t="str">
        <f>IF(VLOOKUP($A13,[1]FE!$A$2:$G$498,6,FALSE)="N/A","n/a",IFERROR(VLOOKUP($A13,[1]FE!$A$2:$G$498,6,FALSE),"n/a"))</f>
        <v>9.27%</v>
      </c>
      <c r="X13" s="142" t="str">
        <f>IF(VLOOKUP($A13,[1]FE!$A$2:$G$498,7,FALSE)="N/A","n/a",IFERROR(VLOOKUP($A13,[1]FE!$A$2:$G$498,7,FALSE),"n/a"))</f>
        <v>9.93%</v>
      </c>
    </row>
    <row r="14" spans="1:24" ht="18.75">
      <c r="A14" s="129" t="s">
        <v>300</v>
      </c>
      <c r="B14" s="130" t="s">
        <v>298</v>
      </c>
      <c r="C14" s="131" t="str">
        <f>VLOOKUP(A14,'[1]mFund List'!$A$2:$B$368,2,FALSE)</f>
        <v>Armytage Strategic Opportunities Fund (Wholesale)</v>
      </c>
      <c r="D14" s="132"/>
      <c r="E14" s="116"/>
      <c r="F14" s="133" t="str">
        <f>_xlfn.IFNA(VLOOKUP(A14,'[1]mFund List'!$A$2:$I$200,6,FALSE),"n/a")</f>
        <v>2.31%</v>
      </c>
      <c r="G14" s="134">
        <f>_xlfn.IFNA(VLOOKUP(A14,'[1]mFund List'!$A$2:$J$200,8,FALSE)/1000000,"n/a")</f>
        <v>0.4650300350210399</v>
      </c>
      <c r="H14" s="135">
        <f>_xlfn.IFNA(VLOOKUP(A14,'[1]mFund List'!$A$2:$N$200,14,FALSE)/1000000,"n/a")</f>
        <v>0.12349493204779986</v>
      </c>
      <c r="I14" s="134">
        <f>_xlfn.IFNA(VLOOKUP(A14,'[1]mFund List'!$A$2:$R$200,18,FALSE)/1000000,"n/a")</f>
        <v>0.11550516678035994</v>
      </c>
      <c r="J14" s="136">
        <f>_xlfn.IFNA(VLOOKUP(A14,[1]IRESS!$A$10:$F$875,5,FALSE),"n/a")</f>
        <v>194026.78</v>
      </c>
      <c r="K14" s="137">
        <f>_xlfn.IFNA(VLOOKUP(A14,[1]IRESS!$A$11:$G$684,7,FALSE),"n/a")</f>
        <v>306593.0846</v>
      </c>
      <c r="L14" s="136">
        <f>_xlfn.IFNA(VLOOKUP(A14,[1]IRESS!$A$10:$F$875,4,FALSE),"n/a")</f>
        <v>4</v>
      </c>
      <c r="M14" s="138">
        <f t="shared" si="0"/>
        <v>0.41723494266606115</v>
      </c>
      <c r="N14" s="139" t="e">
        <f>VLOOKUP(A14,[1]Spreads!$A$1:$G$87,2,FALSE)</f>
        <v>#N/A</v>
      </c>
      <c r="O14" s="137" t="e">
        <f>VLOOKUP(A14,[1]Spreads!$A$1:$G$87,5,FALSE)/1000</f>
        <v>#N/A</v>
      </c>
      <c r="P14" s="140" t="e">
        <f>VLOOKUP(A14,[1]Spreads!$A$1:$G$87,6,FALSE)/1000</f>
        <v>#N/A</v>
      </c>
      <c r="R14" s="141">
        <f>_xlfn.IFNA(VLOOKUP($A14,[1]IRESS!$A$11:$AE$696,6,FALSE)/100,"n/a")</f>
        <v>0.63869999999999993</v>
      </c>
      <c r="S14" s="117"/>
      <c r="T14" s="142" t="str">
        <f>IF(VLOOKUP($A14,[1]FE!$A$2:$G$498,3,FALSE)="N/A","n/a",IFERROR(VLOOKUP($A14,[1]FE!$A$2:$G$498,3,FALSE),"n/a"))</f>
        <v>2.34%</v>
      </c>
      <c r="U14" s="138" t="str">
        <f>IF(VLOOKUP($A14,[1]FE!$A$2:$G$498,4,FALSE)="N/A","n/a",IFERROR(VLOOKUP($A14,[1]FE!$A$2:$G$498,4,FALSE),"n/a"))</f>
        <v>6.15%</v>
      </c>
      <c r="V14" s="142" t="str">
        <f>IF(VLOOKUP($A14,[1]FE!$A$2:$G$498,5,FALSE)="N/A","n/a",IFERROR(VLOOKUP($A14,[1]FE!$A$2:$G$498,5,FALSE),"n/a"))</f>
        <v>16.04%</v>
      </c>
      <c r="W14" s="138" t="str">
        <f>IF(VLOOKUP($A14,[1]FE!$A$2:$G$498,6,FALSE)="N/A","n/a",IFERROR(VLOOKUP($A14,[1]FE!$A$2:$G$498,6,FALSE),"n/a"))</f>
        <v>10.75%</v>
      </c>
      <c r="X14" s="142" t="str">
        <f>IF(VLOOKUP($A14,[1]FE!$A$2:$G$498,7,FALSE)="N/A","n/a",IFERROR(VLOOKUP($A14,[1]FE!$A$2:$G$498,7,FALSE),"n/a"))</f>
        <v>12.47%</v>
      </c>
    </row>
    <row r="15" spans="1:24" ht="18.75">
      <c r="A15" s="129" t="s">
        <v>301</v>
      </c>
      <c r="B15" s="130" t="s">
        <v>298</v>
      </c>
      <c r="C15" s="131" t="str">
        <f>VLOOKUP(A15,'[1]mFund List'!$A$2:$B$368,2,FALSE)</f>
        <v>Australian Ethical Australian Shares Wholesale</v>
      </c>
      <c r="D15" s="132"/>
      <c r="E15" s="116"/>
      <c r="F15" s="133" t="str">
        <f>_xlfn.IFNA(VLOOKUP(A15,'[1]mFund List'!$A$2:$I$200,6,FALSE),"n/a")</f>
        <v>1.10%</v>
      </c>
      <c r="G15" s="134">
        <f>_xlfn.IFNA(VLOOKUP(A15,'[1]mFund List'!$A$2:$J$200,8,FALSE)/1000000,"n/a")</f>
        <v>4.8842122889192581</v>
      </c>
      <c r="H15" s="135">
        <f>_xlfn.IFNA(VLOOKUP(A15,'[1]mFund List'!$A$2:$N$200,14,FALSE)/1000000,"n/a")</f>
        <v>5.4246376425079068E-2</v>
      </c>
      <c r="I15" s="134">
        <f>_xlfn.IFNA(VLOOKUP(A15,'[1]mFund List'!$A$2:$R$200,18,FALSE)/1000000,"n/a")</f>
        <v>-3.8879590712698531E-2</v>
      </c>
      <c r="J15" s="136">
        <f>_xlfn.IFNA(VLOOKUP(A15,[1]IRESS!$A$10:$F$875,5,FALSE),"n/a")</f>
        <v>271970</v>
      </c>
      <c r="K15" s="137">
        <f>_xlfn.IFNA(VLOOKUP(A15,[1]IRESS!$A$11:$G$684,7,FALSE),"n/a")</f>
        <v>108824.41339999999</v>
      </c>
      <c r="L15" s="136">
        <f>_xlfn.IFNA(VLOOKUP(A15,[1]IRESS!$A$10:$F$875,4,FALSE),"n/a")</f>
        <v>5</v>
      </c>
      <c r="M15" s="138">
        <f t="shared" si="0"/>
        <v>5.5683492836094452E-2</v>
      </c>
      <c r="N15" s="139" t="e">
        <f>VLOOKUP(A15,[1]Spreads!$A$1:$G$87,2,FALSE)</f>
        <v>#N/A</v>
      </c>
      <c r="O15" s="137" t="e">
        <f>VLOOKUP(A15,[1]Spreads!$A$1:$G$87,5,FALSE)/1000</f>
        <v>#N/A</v>
      </c>
      <c r="P15" s="140" t="e">
        <f>VLOOKUP(A15,[1]Spreads!$A$1:$G$87,6,FALSE)/1000</f>
        <v>#N/A</v>
      </c>
      <c r="R15" s="141">
        <f>_xlfn.IFNA(VLOOKUP($A15,[1]IRESS!$A$11:$AE$696,6,FALSE)/100,"n/a")</f>
        <v>2.516632</v>
      </c>
      <c r="S15" s="117"/>
      <c r="T15" s="142" t="str">
        <f>IF(VLOOKUP($A15,[1]FE!$A$2:$G$498,3,FALSE)="N/A","n/a",IFERROR(VLOOKUP($A15,[1]FE!$A$2:$G$498,3,FALSE),"n/a"))</f>
        <v>1.93%</v>
      </c>
      <c r="U15" s="138" t="str">
        <f>IF(VLOOKUP($A15,[1]FE!$A$2:$G$498,4,FALSE)="N/A","n/a",IFERROR(VLOOKUP($A15,[1]FE!$A$2:$G$498,4,FALSE),"n/a"))</f>
        <v>3.27%</v>
      </c>
      <c r="V15" s="142" t="str">
        <f>IF(VLOOKUP($A15,[1]FE!$A$2:$G$498,5,FALSE)="N/A","n/a",IFERROR(VLOOKUP($A15,[1]FE!$A$2:$G$498,5,FALSE),"n/a"))</f>
        <v>9.55%</v>
      </c>
      <c r="W15" s="138" t="str">
        <f>IF(VLOOKUP($A15,[1]FE!$A$2:$G$498,6,FALSE)="N/A","n/a",IFERROR(VLOOKUP($A15,[1]FE!$A$2:$G$498,6,FALSE),"n/a"))</f>
        <v>12.44%</v>
      </c>
      <c r="X15" s="142" t="str">
        <f>IF(VLOOKUP($A15,[1]FE!$A$2:$G$498,7,FALSE)="N/A","n/a",IFERROR(VLOOKUP($A15,[1]FE!$A$2:$G$498,7,FALSE),"n/a"))</f>
        <v>14.86%</v>
      </c>
    </row>
    <row r="16" spans="1:24" ht="18.75">
      <c r="A16" s="129" t="s">
        <v>302</v>
      </c>
      <c r="B16" s="130" t="s">
        <v>298</v>
      </c>
      <c r="C16" s="131" t="str">
        <f>VLOOKUP(A16,'[1]mFund List'!$A$2:$B$368,2,FALSE)</f>
        <v>Ausbil 130/30 Focus Fund</v>
      </c>
      <c r="D16" s="132"/>
      <c r="E16" s="116"/>
      <c r="F16" s="133" t="str">
        <f>_xlfn.IFNA(VLOOKUP(A16,'[1]mFund List'!$A$2:$I$200,6,FALSE),"n/a")</f>
        <v>0.75%</v>
      </c>
      <c r="G16" s="134">
        <f>_xlfn.IFNA(VLOOKUP(A16,'[1]mFund List'!$A$2:$J$200,8,FALSE)/1000000,"n/a")</f>
        <v>0</v>
      </c>
      <c r="H16" s="135">
        <f>_xlfn.IFNA(VLOOKUP(A16,'[1]mFund List'!$A$2:$N$200,14,FALSE)/1000000,"n/a")</f>
        <v>0</v>
      </c>
      <c r="I16" s="134">
        <f>_xlfn.IFNA(VLOOKUP(A16,'[1]mFund List'!$A$2:$R$200,18,FALSE)/1000000,"n/a")</f>
        <v>0</v>
      </c>
      <c r="J16" s="136" t="str">
        <f>_xlfn.IFNA(VLOOKUP(A16,[1]IRESS!$A$10:$F$875,5,FALSE),"n/a")</f>
        <v>0</v>
      </c>
      <c r="K16" s="137" t="str">
        <f>_xlfn.IFNA(VLOOKUP(A16,[1]IRESS!$A$11:$G$684,7,FALSE),"n/a")</f>
        <v>0</v>
      </c>
      <c r="L16" s="136" t="str">
        <f>_xlfn.IFNA(VLOOKUP(A16,[1]IRESS!$A$10:$F$875,4,FALSE),"n/a")</f>
        <v>0</v>
      </c>
      <c r="M16" s="138" t="e">
        <f t="shared" si="0"/>
        <v>#DIV/0!</v>
      </c>
      <c r="N16" s="139" t="e">
        <f>VLOOKUP(A16,[1]Spreads!$A$1:$G$87,2,FALSE)</f>
        <v>#N/A</v>
      </c>
      <c r="O16" s="137" t="e">
        <f>VLOOKUP(A16,[1]Spreads!$A$1:$G$87,5,FALSE)/1000</f>
        <v>#N/A</v>
      </c>
      <c r="P16" s="140" t="e">
        <f>VLOOKUP(A16,[1]Spreads!$A$1:$G$87,6,FALSE)/1000</f>
        <v>#N/A</v>
      </c>
      <c r="R16" s="141">
        <f>_xlfn.IFNA(VLOOKUP($A16,[1]IRESS!$A$11:$AE$696,6,FALSE)/100,"n/a")</f>
        <v>1.0861239999999999</v>
      </c>
      <c r="S16" s="117"/>
      <c r="T16" s="142" t="str">
        <f>IF(VLOOKUP($A16,[1]FE!$A$2:$G$498,3,FALSE)="N/A","n/a",IFERROR(VLOOKUP($A16,[1]FE!$A$2:$G$498,3,FALSE),"n/a"))</f>
        <v>2.46%</v>
      </c>
      <c r="U16" s="138" t="str">
        <f>IF(VLOOKUP($A16,[1]FE!$A$2:$G$498,4,FALSE)="N/A","n/a",IFERROR(VLOOKUP($A16,[1]FE!$A$2:$G$498,4,FALSE),"n/a"))</f>
        <v>8.89%</v>
      </c>
      <c r="V16" s="142" t="str">
        <f>IF(VLOOKUP($A16,[1]FE!$A$2:$G$498,5,FALSE)="N/A","n/a",IFERROR(VLOOKUP($A16,[1]FE!$A$2:$G$498,5,FALSE),"n/a"))</f>
        <v>n/a</v>
      </c>
      <c r="W16" s="138" t="str">
        <f>IF(VLOOKUP($A16,[1]FE!$A$2:$G$498,6,FALSE)="N/A","n/a",IFERROR(VLOOKUP($A16,[1]FE!$A$2:$G$498,6,FALSE),"n/a"))</f>
        <v>n/a</v>
      </c>
      <c r="X16" s="142" t="str">
        <f>IF(VLOOKUP($A16,[1]FE!$A$2:$G$498,7,FALSE)="N/A","n/a",IFERROR(VLOOKUP($A16,[1]FE!$A$2:$G$498,7,FALSE),"n/a"))</f>
        <v>n/a</v>
      </c>
    </row>
    <row r="17" spans="1:24" ht="18.75">
      <c r="A17" s="129" t="s">
        <v>303</v>
      </c>
      <c r="B17" s="130" t="s">
        <v>298</v>
      </c>
      <c r="C17" s="131" t="str">
        <f>VLOOKUP(A17,'[1]mFund List'!$A$2:$B$368,2,FALSE)</f>
        <v>Ausbil 130/30 Focus Fund</v>
      </c>
      <c r="D17" s="132"/>
      <c r="E17" s="116"/>
      <c r="F17" s="133" t="str">
        <f>_xlfn.IFNA(VLOOKUP(A17,'[1]mFund List'!$A$2:$I$200,6,FALSE),"n/a")</f>
        <v>1.00%</v>
      </c>
      <c r="G17" s="134">
        <f>_xlfn.IFNA(VLOOKUP(A17,'[1]mFund List'!$A$2:$J$200,8,FALSE)/1000000,"n/a")</f>
        <v>0</v>
      </c>
      <c r="H17" s="135">
        <f>_xlfn.IFNA(VLOOKUP(A17,'[1]mFund List'!$A$2:$N$200,14,FALSE)/1000000,"n/a")</f>
        <v>0</v>
      </c>
      <c r="I17" s="134">
        <f>_xlfn.IFNA(VLOOKUP(A17,'[1]mFund List'!$A$2:$R$200,18,FALSE)/1000000,"n/a")</f>
        <v>0</v>
      </c>
      <c r="J17" s="136" t="str">
        <f>_xlfn.IFNA(VLOOKUP(A17,[1]IRESS!$A$10:$F$875,5,FALSE),"n/a")</f>
        <v>0</v>
      </c>
      <c r="K17" s="137" t="str">
        <f>_xlfn.IFNA(VLOOKUP(A17,[1]IRESS!$A$11:$G$684,7,FALSE),"n/a")</f>
        <v>0</v>
      </c>
      <c r="L17" s="136" t="str">
        <f>_xlfn.IFNA(VLOOKUP(A17,[1]IRESS!$A$10:$F$875,4,FALSE),"n/a")</f>
        <v>0</v>
      </c>
      <c r="M17" s="138" t="e">
        <f t="shared" si="0"/>
        <v>#DIV/0!</v>
      </c>
      <c r="N17" s="139" t="e">
        <f>VLOOKUP(A17,[1]Spreads!$A$1:$G$87,2,FALSE)</f>
        <v>#N/A</v>
      </c>
      <c r="O17" s="137" t="e">
        <f>VLOOKUP(A17,[1]Spreads!$A$1:$G$87,5,FALSE)/1000</f>
        <v>#N/A</v>
      </c>
      <c r="P17" s="140" t="e">
        <f>VLOOKUP(A17,[1]Spreads!$A$1:$G$87,6,FALSE)/1000</f>
        <v>#N/A</v>
      </c>
      <c r="R17" s="141">
        <f>_xlfn.IFNA(VLOOKUP($A17,[1]IRESS!$A$11:$AE$696,6,FALSE)/100,"n/a")</f>
        <v>1.0489090000000001</v>
      </c>
      <c r="S17" s="117"/>
      <c r="T17" s="142" t="str">
        <f>IF(VLOOKUP($A17,[1]FE!$A$2:$G$498,3,FALSE)="N/A","n/a",IFERROR(VLOOKUP($A17,[1]FE!$A$2:$G$498,3,FALSE),"n/a"))</f>
        <v>2.84%</v>
      </c>
      <c r="U17" s="138" t="str">
        <f>IF(VLOOKUP($A17,[1]FE!$A$2:$G$498,4,FALSE)="N/A","n/a",IFERROR(VLOOKUP($A17,[1]FE!$A$2:$G$498,4,FALSE),"n/a"))</f>
        <v>8.27%</v>
      </c>
      <c r="V17" s="142" t="str">
        <f>IF(VLOOKUP($A17,[1]FE!$A$2:$G$498,5,FALSE)="N/A","n/a",IFERROR(VLOOKUP($A17,[1]FE!$A$2:$G$498,5,FALSE),"n/a"))</f>
        <v>n/a</v>
      </c>
      <c r="W17" s="138" t="str">
        <f>IF(VLOOKUP($A17,[1]FE!$A$2:$G$498,6,FALSE)="N/A","n/a",IFERROR(VLOOKUP($A17,[1]FE!$A$2:$G$498,6,FALSE),"n/a"))</f>
        <v>n/a</v>
      </c>
      <c r="X17" s="142" t="str">
        <f>IF(VLOOKUP($A17,[1]FE!$A$2:$G$498,7,FALSE)="N/A","n/a",IFERROR(VLOOKUP($A17,[1]FE!$A$2:$G$498,7,FALSE),"n/a"))</f>
        <v>n/a</v>
      </c>
    </row>
    <row r="18" spans="1:24" ht="18.75">
      <c r="A18" s="129" t="s">
        <v>304</v>
      </c>
      <c r="B18" s="130" t="s">
        <v>298</v>
      </c>
      <c r="C18" s="131" t="str">
        <f>VLOOKUP(A18,'[1]mFund List'!$A$2:$B$368,2,FALSE)</f>
        <v>Aberdeen Ex-20 Australian Equities Fund</v>
      </c>
      <c r="D18" s="132"/>
      <c r="E18" s="116"/>
      <c r="F18" s="133" t="str">
        <f>_xlfn.IFNA(VLOOKUP(A18,'[1]mFund List'!$A$2:$I$200,6,FALSE),"n/a")</f>
        <v>0.95%</v>
      </c>
      <c r="G18" s="134">
        <f>_xlfn.IFNA(VLOOKUP(A18,'[1]mFund List'!$A$2:$J$200,8,FALSE)/1000000,"n/a")</f>
        <v>1.4093468838400001</v>
      </c>
      <c r="H18" s="135">
        <f>_xlfn.IFNA(VLOOKUP(A18,'[1]mFund List'!$A$2:$N$200,14,FALSE)/1000000,"n/a")</f>
        <v>0.17594202820599988</v>
      </c>
      <c r="I18" s="134">
        <f>_xlfn.IFNA(VLOOKUP(A18,'[1]mFund List'!$A$2:$R$200,18,FALSE)/1000000,"n/a")</f>
        <v>0.14234068127999999</v>
      </c>
      <c r="J18" s="136">
        <f>_xlfn.IFNA(VLOOKUP(A18,[1]IRESS!$A$10:$F$875,5,FALSE),"n/a")</f>
        <v>140000</v>
      </c>
      <c r="K18" s="137">
        <f>_xlfn.IFNA(VLOOKUP(A18,[1]IRESS!$A$11:$G$684,7,FALSE),"n/a")</f>
        <v>34348.619999999995</v>
      </c>
      <c r="L18" s="136">
        <f>_xlfn.IFNA(VLOOKUP(A18,[1]IRESS!$A$10:$F$875,4,FALSE),"n/a")</f>
        <v>3</v>
      </c>
      <c r="M18" s="138">
        <f t="shared" si="0"/>
        <v>9.9336793237550375E-2</v>
      </c>
      <c r="N18" s="139" t="e">
        <f>VLOOKUP(A18,[1]Spreads!$A$1:$G$87,2,FALSE)</f>
        <v>#N/A</v>
      </c>
      <c r="O18" s="137" t="e">
        <f>VLOOKUP(A18,[1]Spreads!$A$1:$G$87,5,FALSE)/1000</f>
        <v>#N/A</v>
      </c>
      <c r="P18" s="140" t="e">
        <f>VLOOKUP(A18,[1]Spreads!$A$1:$G$87,6,FALSE)/1000</f>
        <v>#N/A</v>
      </c>
      <c r="R18" s="141">
        <f>_xlfn.IFNA(VLOOKUP($A18,[1]IRESS!$A$11:$AE$696,6,FALSE)/100,"n/a")</f>
        <v>4.1440000000000001</v>
      </c>
      <c r="S18" s="117"/>
      <c r="T18" s="142" t="str">
        <f>IF(VLOOKUP($A18,[1]FE!$A$2:$G$498,3,FALSE)="N/A","n/a",IFERROR(VLOOKUP($A18,[1]FE!$A$2:$G$498,3,FALSE),"n/a"))</f>
        <v>2.72%</v>
      </c>
      <c r="U18" s="138" t="str">
        <f>IF(VLOOKUP($A18,[1]FE!$A$2:$G$498,4,FALSE)="N/A","n/a",IFERROR(VLOOKUP($A18,[1]FE!$A$2:$G$498,4,FALSE),"n/a"))</f>
        <v>6.02%</v>
      </c>
      <c r="V18" s="142" t="str">
        <f>IF(VLOOKUP($A18,[1]FE!$A$2:$G$498,5,FALSE)="N/A","n/a",IFERROR(VLOOKUP($A18,[1]FE!$A$2:$G$498,5,FALSE),"n/a"))</f>
        <v>8.52%</v>
      </c>
      <c r="W18" s="138" t="str">
        <f>IF(VLOOKUP($A18,[1]FE!$A$2:$G$498,6,FALSE)="N/A","n/a",IFERROR(VLOOKUP($A18,[1]FE!$A$2:$G$498,6,FALSE),"n/a"))</f>
        <v>13.37%</v>
      </c>
      <c r="X18" s="142" t="str">
        <f>IF(VLOOKUP($A18,[1]FE!$A$2:$G$498,7,FALSE)="N/A","n/a",IFERROR(VLOOKUP($A18,[1]FE!$A$2:$G$498,7,FALSE),"n/a"))</f>
        <v>13.90%</v>
      </c>
    </row>
    <row r="19" spans="1:24" ht="18.75">
      <c r="A19" s="129" t="s">
        <v>305</v>
      </c>
      <c r="B19" s="130" t="s">
        <v>298</v>
      </c>
      <c r="C19" s="131" t="str">
        <f>VLOOKUP(A19,'[1]mFund List'!$A$2:$B$368,2,FALSE)</f>
        <v>Alphinity Wholesale Australian Share Fund</v>
      </c>
      <c r="D19" s="132"/>
      <c r="E19" s="116"/>
      <c r="F19" s="133" t="str">
        <f>_xlfn.IFNA(VLOOKUP(A19,'[1]mFund List'!$A$2:$I$200,6,FALSE),"n/a")</f>
        <v>0.90%</v>
      </c>
      <c r="G19" s="134">
        <f>_xlfn.IFNA(VLOOKUP(A19,'[1]mFund List'!$A$2:$J$200,8,FALSE)/1000000,"n/a")</f>
        <v>2.259842863958E-2</v>
      </c>
      <c r="H19" s="135">
        <f>_xlfn.IFNA(VLOOKUP(A19,'[1]mFund List'!$A$2:$N$200,14,FALSE)/1000000,"n/a")</f>
        <v>7.8245193236000342E-4</v>
      </c>
      <c r="I19" s="134">
        <f>_xlfn.IFNA(VLOOKUP(A19,'[1]mFund List'!$A$2:$R$200,18,FALSE)/1000000,"n/a")</f>
        <v>2.9051989258732647E-18</v>
      </c>
      <c r="J19" s="136" t="str">
        <f>_xlfn.IFNA(VLOOKUP(A19,[1]IRESS!$A$10:$F$875,5,FALSE),"n/a")</f>
        <v>0</v>
      </c>
      <c r="K19" s="137" t="str">
        <f>_xlfn.IFNA(VLOOKUP(A19,[1]IRESS!$A$11:$G$684,7,FALSE),"n/a")</f>
        <v>0</v>
      </c>
      <c r="L19" s="136" t="str">
        <f>_xlfn.IFNA(VLOOKUP(A19,[1]IRESS!$A$10:$F$875,4,FALSE),"n/a")</f>
        <v>0</v>
      </c>
      <c r="M19" s="138">
        <f t="shared" si="0"/>
        <v>0</v>
      </c>
      <c r="N19" s="139" t="e">
        <f>VLOOKUP(A19,[1]Spreads!$A$1:$G$87,2,FALSE)</f>
        <v>#N/A</v>
      </c>
      <c r="O19" s="137" t="e">
        <f>VLOOKUP(A19,[1]Spreads!$A$1:$G$87,5,FALSE)/1000</f>
        <v>#N/A</v>
      </c>
      <c r="P19" s="140" t="e">
        <f>VLOOKUP(A19,[1]Spreads!$A$1:$G$87,6,FALSE)/1000</f>
        <v>#N/A</v>
      </c>
      <c r="R19" s="141">
        <f>_xlfn.IFNA(VLOOKUP($A19,[1]IRESS!$A$11:$AE$696,6,FALSE)/100,"n/a")</f>
        <v>3.1943000000000001</v>
      </c>
      <c r="S19" s="117"/>
      <c r="T19" s="142" t="str">
        <f>IF(VLOOKUP($A19,[1]FE!$A$2:$G$498,3,FALSE)="N/A","n/a",IFERROR(VLOOKUP($A19,[1]FE!$A$2:$G$498,3,FALSE),"n/a"))</f>
        <v>3.59%</v>
      </c>
      <c r="U19" s="138" t="str">
        <f>IF(VLOOKUP($A19,[1]FE!$A$2:$G$498,4,FALSE)="N/A","n/a",IFERROR(VLOOKUP($A19,[1]FE!$A$2:$G$498,4,FALSE),"n/a"))</f>
        <v>10.97%</v>
      </c>
      <c r="V19" s="142" t="str">
        <f>IF(VLOOKUP($A19,[1]FE!$A$2:$G$498,5,FALSE)="N/A","n/a",IFERROR(VLOOKUP($A19,[1]FE!$A$2:$G$498,5,FALSE),"n/a"))</f>
        <v>16.66%</v>
      </c>
      <c r="W19" s="138" t="str">
        <f>IF(VLOOKUP($A19,[1]FE!$A$2:$G$498,6,FALSE)="N/A","n/a",IFERROR(VLOOKUP($A19,[1]FE!$A$2:$G$498,6,FALSE),"n/a"))</f>
        <v>10.25%</v>
      </c>
      <c r="X19" s="142" t="str">
        <f>IF(VLOOKUP($A19,[1]FE!$A$2:$G$498,7,FALSE)="N/A","n/a",IFERROR(VLOOKUP($A19,[1]FE!$A$2:$G$498,7,FALSE),"n/a"))</f>
        <v>10.70%</v>
      </c>
    </row>
    <row r="20" spans="1:24" ht="18.75">
      <c r="A20" s="129" t="s">
        <v>306</v>
      </c>
      <c r="B20" s="130" t="s">
        <v>298</v>
      </c>
      <c r="C20" s="131" t="str">
        <f>VLOOKUP(A20,'[1]mFund List'!$A$2:$B$368,2,FALSE)</f>
        <v>Alphinity Wholesale Concentrated Australian Share Fund</v>
      </c>
      <c r="D20" s="132"/>
      <c r="E20" s="116"/>
      <c r="F20" s="133" t="str">
        <f>_xlfn.IFNA(VLOOKUP(A20,'[1]mFund List'!$A$2:$I$200,6,FALSE),"n/a")</f>
        <v>0.90%</v>
      </c>
      <c r="G20" s="134">
        <f>_xlfn.IFNA(VLOOKUP(A20,'[1]mFund List'!$A$2:$J$200,8,FALSE)/1000000,"n/a")</f>
        <v>0.12204206679288</v>
      </c>
      <c r="H20" s="135">
        <f>_xlfn.IFNA(VLOOKUP(A20,'[1]mFund List'!$A$2:$N$200,14,FALSE)/1000000,"n/a")</f>
        <v>1.3806870735820004E-2</v>
      </c>
      <c r="I20" s="134">
        <f>_xlfn.IFNA(VLOOKUP(A20,'[1]mFund List'!$A$2:$R$200,18,FALSE)/1000000,"n/a")</f>
        <v>1.0186168205200005E-2</v>
      </c>
      <c r="J20" s="136">
        <f>_xlfn.IFNA(VLOOKUP(A20,[1]IRESS!$A$10:$F$875,5,FALSE),"n/a")</f>
        <v>10000</v>
      </c>
      <c r="K20" s="137">
        <f>_xlfn.IFNA(VLOOKUP(A20,[1]IRESS!$A$11:$G$684,7,FALSE),"n/a")</f>
        <v>7476.6355000000003</v>
      </c>
      <c r="L20" s="136">
        <f>_xlfn.IFNA(VLOOKUP(A20,[1]IRESS!$A$10:$F$875,4,FALSE),"n/a")</f>
        <v>1</v>
      </c>
      <c r="M20" s="138">
        <f t="shared" si="0"/>
        <v>8.1938959760253796E-2</v>
      </c>
      <c r="N20" s="139" t="e">
        <f>VLOOKUP(A20,[1]Spreads!$A$1:$G$87,2,FALSE)</f>
        <v>#N/A</v>
      </c>
      <c r="O20" s="137" t="e">
        <f>VLOOKUP(A20,[1]Spreads!$A$1:$G$87,5,FALSE)/1000</f>
        <v>#N/A</v>
      </c>
      <c r="P20" s="140" t="e">
        <f>VLOOKUP(A20,[1]Spreads!$A$1:$G$87,6,FALSE)/1000</f>
        <v>#N/A</v>
      </c>
      <c r="R20" s="141">
        <f>_xlfn.IFNA(VLOOKUP($A20,[1]IRESS!$A$11:$AE$696,6,FALSE)/100,"n/a")</f>
        <v>1.3624000000000001</v>
      </c>
      <c r="S20" s="117"/>
      <c r="T20" s="142" t="str">
        <f>IF(VLOOKUP($A20,[1]FE!$A$2:$G$498,3,FALSE)="N/A","n/a",IFERROR(VLOOKUP($A20,[1]FE!$A$2:$G$498,3,FALSE),"n/a"))</f>
        <v>3.35%</v>
      </c>
      <c r="U20" s="138" t="str">
        <f>IF(VLOOKUP($A20,[1]FE!$A$2:$G$498,4,FALSE)="N/A","n/a",IFERROR(VLOOKUP($A20,[1]FE!$A$2:$G$498,4,FALSE),"n/a"))</f>
        <v>11.01%</v>
      </c>
      <c r="V20" s="142" t="str">
        <f>IF(VLOOKUP($A20,[1]FE!$A$2:$G$498,5,FALSE)="N/A","n/a",IFERROR(VLOOKUP($A20,[1]FE!$A$2:$G$498,5,FALSE),"n/a"))</f>
        <v>17.69%</v>
      </c>
      <c r="W20" s="138" t="str">
        <f>IF(VLOOKUP($A20,[1]FE!$A$2:$G$498,6,FALSE)="N/A","n/a",IFERROR(VLOOKUP($A20,[1]FE!$A$2:$G$498,6,FALSE),"n/a"))</f>
        <v>12.82%</v>
      </c>
      <c r="X20" s="142" t="str">
        <f>IF(VLOOKUP($A20,[1]FE!$A$2:$G$498,7,FALSE)="N/A","n/a",IFERROR(VLOOKUP($A20,[1]FE!$A$2:$G$498,7,FALSE),"n/a"))</f>
        <v>12.68%</v>
      </c>
    </row>
    <row r="21" spans="1:24" ht="18.75">
      <c r="A21" s="129" t="s">
        <v>307</v>
      </c>
      <c r="B21" s="130" t="s">
        <v>298</v>
      </c>
      <c r="C21" s="131" t="str">
        <f>VLOOKUP(A21,'[1]mFund List'!$A$2:$B$368,2,FALSE)</f>
        <v>Alphinity Wholesale Socially Responsible Share Fund</v>
      </c>
      <c r="D21" s="132"/>
      <c r="E21" s="116"/>
      <c r="F21" s="133" t="str">
        <f>_xlfn.IFNA(VLOOKUP(A21,'[1]mFund List'!$A$2:$I$200,6,FALSE),"n/a")</f>
        <v>0.95%</v>
      </c>
      <c r="G21" s="134">
        <f>_xlfn.IFNA(VLOOKUP(A21,'[1]mFund List'!$A$2:$J$200,8,FALSE)/1000000,"n/a")</f>
        <v>0</v>
      </c>
      <c r="H21" s="135">
        <f>_xlfn.IFNA(VLOOKUP(A21,'[1]mFund List'!$A$2:$N$200,14,FALSE)/1000000,"n/a")</f>
        <v>0</v>
      </c>
      <c r="I21" s="134">
        <f>_xlfn.IFNA(VLOOKUP(A21,'[1]mFund List'!$A$2:$R$200,18,FALSE)/1000000,"n/a")</f>
        <v>0</v>
      </c>
      <c r="J21" s="136" t="str">
        <f>_xlfn.IFNA(VLOOKUP(A21,[1]IRESS!$A$10:$F$875,5,FALSE),"n/a")</f>
        <v>0</v>
      </c>
      <c r="K21" s="137" t="str">
        <f>_xlfn.IFNA(VLOOKUP(A21,[1]IRESS!$A$11:$G$684,7,FALSE),"n/a")</f>
        <v>0</v>
      </c>
      <c r="L21" s="136" t="str">
        <f>_xlfn.IFNA(VLOOKUP(A21,[1]IRESS!$A$10:$F$875,4,FALSE),"n/a")</f>
        <v>0</v>
      </c>
      <c r="M21" s="138" t="e">
        <f t="shared" si="0"/>
        <v>#DIV/0!</v>
      </c>
      <c r="N21" s="139" t="e">
        <f>VLOOKUP(A21,[1]Spreads!$A$1:$G$87,2,FALSE)</f>
        <v>#N/A</v>
      </c>
      <c r="O21" s="137" t="e">
        <f>VLOOKUP(A21,[1]Spreads!$A$1:$G$87,5,FALSE)/1000</f>
        <v>#N/A</v>
      </c>
      <c r="P21" s="140" t="e">
        <f>VLOOKUP(A21,[1]Spreads!$A$1:$G$87,6,FALSE)/1000</f>
        <v>#N/A</v>
      </c>
      <c r="R21" s="141">
        <f>_xlfn.IFNA(VLOOKUP($A21,[1]IRESS!$A$11:$AE$696,6,FALSE)/100,"n/a")</f>
        <v>1.6903999999999999</v>
      </c>
      <c r="S21" s="117"/>
      <c r="T21" s="142" t="str">
        <f>IF(VLOOKUP($A21,[1]FE!$A$2:$G$498,3,FALSE)="N/A","n/a",IFERROR(VLOOKUP($A21,[1]FE!$A$2:$G$498,3,FALSE),"n/a"))</f>
        <v>3.53%</v>
      </c>
      <c r="U21" s="138" t="str">
        <f>IF(VLOOKUP($A21,[1]FE!$A$2:$G$498,4,FALSE)="N/A","n/a",IFERROR(VLOOKUP($A21,[1]FE!$A$2:$G$498,4,FALSE),"n/a"))</f>
        <v>10.95%</v>
      </c>
      <c r="V21" s="142" t="str">
        <f>IF(VLOOKUP($A21,[1]FE!$A$2:$G$498,5,FALSE)="N/A","n/a",IFERROR(VLOOKUP($A21,[1]FE!$A$2:$G$498,5,FALSE),"n/a"))</f>
        <v>20.68%</v>
      </c>
      <c r="W21" s="138" t="str">
        <f>IF(VLOOKUP($A21,[1]FE!$A$2:$G$498,6,FALSE)="N/A","n/a",IFERROR(VLOOKUP($A21,[1]FE!$A$2:$G$498,6,FALSE),"n/a"))</f>
        <v>10.95%</v>
      </c>
      <c r="X21" s="142" t="str">
        <f>IF(VLOOKUP($A21,[1]FE!$A$2:$G$498,7,FALSE)="N/A","n/a",IFERROR(VLOOKUP($A21,[1]FE!$A$2:$G$498,7,FALSE),"n/a"))</f>
        <v>11.17%</v>
      </c>
    </row>
    <row r="22" spans="1:24" ht="18.75">
      <c r="A22" s="129" t="s">
        <v>308</v>
      </c>
      <c r="B22" s="130" t="s">
        <v>298</v>
      </c>
      <c r="C22" s="131" t="str">
        <f>VLOOKUP(A22,'[1]mFund List'!$A$2:$B$368,2,FALSE)</f>
        <v>Allan Gray Australia Equity Fund</v>
      </c>
      <c r="D22" s="132"/>
      <c r="E22" s="116"/>
      <c r="F22" s="133" t="str">
        <f>_xlfn.IFNA(VLOOKUP(A22,'[1]mFund List'!$A$2:$I$200,6,FALSE),"n/a")</f>
        <v>0.77%</v>
      </c>
      <c r="G22" s="134">
        <f>_xlfn.IFNA(VLOOKUP(A22,'[1]mFund List'!$A$2:$J$200,8,FALSE)/1000000,"n/a")</f>
        <v>25.687887426416697</v>
      </c>
      <c r="H22" s="135">
        <f>_xlfn.IFNA(VLOOKUP(A22,'[1]mFund List'!$A$2:$N$200,14,FALSE)/1000000,"n/a")</f>
        <v>1.5126658104249984</v>
      </c>
      <c r="I22" s="134">
        <f>_xlfn.IFNA(VLOOKUP(A22,'[1]mFund List'!$A$2:$R$200,18,FALSE)/1000000,"n/a")</f>
        <v>0.90482853778779837</v>
      </c>
      <c r="J22" s="136">
        <f>_xlfn.IFNA(VLOOKUP(A22,[1]IRESS!$A$10:$F$875,5,FALSE),"n/a")</f>
        <v>1621721.72</v>
      </c>
      <c r="K22" s="137">
        <f>_xlfn.IFNA(VLOOKUP(A22,[1]IRESS!$A$11:$G$684,7,FALSE),"n/a")</f>
        <v>907652.50799999991</v>
      </c>
      <c r="L22" s="136">
        <f>_xlfn.IFNA(VLOOKUP(A22,[1]IRESS!$A$10:$F$875,4,FALSE),"n/a")</f>
        <v>43</v>
      </c>
      <c r="M22" s="138">
        <f t="shared" si="0"/>
        <v>6.3131766854921167E-2</v>
      </c>
      <c r="N22" s="139" t="e">
        <f>VLOOKUP(A22,[1]Spreads!$A$1:$G$87,2,FALSE)</f>
        <v>#N/A</v>
      </c>
      <c r="O22" s="137" t="e">
        <f>VLOOKUP(A22,[1]Spreads!$A$1:$G$87,5,FALSE)/1000</f>
        <v>#N/A</v>
      </c>
      <c r="P22" s="140" t="e">
        <f>VLOOKUP(A22,[1]Spreads!$A$1:$G$87,6,FALSE)/1000</f>
        <v>#N/A</v>
      </c>
      <c r="R22" s="141">
        <f>_xlfn.IFNA(VLOOKUP($A22,[1]IRESS!$A$11:$AE$696,6,FALSE)/100,"n/a")</f>
        <v>1.8103</v>
      </c>
      <c r="S22" s="117"/>
      <c r="T22" s="142" t="str">
        <f>IF(VLOOKUP($A22,[1]FE!$A$2:$G$498,3,FALSE)="N/A","n/a",IFERROR(VLOOKUP($A22,[1]FE!$A$2:$G$498,3,FALSE),"n/a"))</f>
        <v>2.51%</v>
      </c>
      <c r="U22" s="138" t="str">
        <f>IF(VLOOKUP($A22,[1]FE!$A$2:$G$498,4,FALSE)="N/A","n/a",IFERROR(VLOOKUP($A22,[1]FE!$A$2:$G$498,4,FALSE),"n/a"))</f>
        <v>7.65%</v>
      </c>
      <c r="V22" s="142" t="str">
        <f>IF(VLOOKUP($A22,[1]FE!$A$2:$G$498,5,FALSE)="N/A","n/a",IFERROR(VLOOKUP($A22,[1]FE!$A$2:$G$498,5,FALSE),"n/a"))</f>
        <v>16.07%</v>
      </c>
      <c r="W22" s="138" t="str">
        <f>IF(VLOOKUP($A22,[1]FE!$A$2:$G$498,6,FALSE)="N/A","n/a",IFERROR(VLOOKUP($A22,[1]FE!$A$2:$G$498,6,FALSE),"n/a"))</f>
        <v>16.75%</v>
      </c>
      <c r="X22" s="142" t="str">
        <f>IF(VLOOKUP($A22,[1]FE!$A$2:$G$498,7,FALSE)="N/A","n/a",IFERROR(VLOOKUP($A22,[1]FE!$A$2:$G$498,7,FALSE),"n/a"))</f>
        <v>14.52%</v>
      </c>
    </row>
    <row r="23" spans="1:24" ht="18.75">
      <c r="A23" s="129" t="s">
        <v>309</v>
      </c>
      <c r="B23" s="130" t="s">
        <v>298</v>
      </c>
      <c r="C23" s="131" t="str">
        <f>VLOOKUP(A23,'[1]mFund List'!$A$2:$B$368,2,FALSE)</f>
        <v>Ausbil Australian Active Equity</v>
      </c>
      <c r="D23" s="132"/>
      <c r="E23" s="116"/>
      <c r="F23" s="133" t="str">
        <f>_xlfn.IFNA(VLOOKUP(A23,'[1]mFund List'!$A$2:$I$200,6,FALSE),"n/a")</f>
        <v>0.90%</v>
      </c>
      <c r="G23" s="134">
        <f>_xlfn.IFNA(VLOOKUP(A23,'[1]mFund List'!$A$2:$J$200,8,FALSE)/1000000,"n/a")</f>
        <v>0.64566682547477861</v>
      </c>
      <c r="H23" s="135">
        <f>_xlfn.IFNA(VLOOKUP(A23,'[1]mFund List'!$A$2:$N$200,14,FALSE)/1000000,"n/a")</f>
        <v>3.7864027100328469E-2</v>
      </c>
      <c r="I23" s="134">
        <f>_xlfn.IFNA(VLOOKUP(A23,'[1]mFund List'!$A$2:$R$200,18,FALSE)/1000000,"n/a")</f>
        <v>2.0230399175584609E-2</v>
      </c>
      <c r="J23" s="136">
        <f>_xlfn.IFNA(VLOOKUP(A23,[1]IRESS!$A$10:$F$875,5,FALSE),"n/a")</f>
        <v>20000</v>
      </c>
      <c r="K23" s="137">
        <f>_xlfn.IFNA(VLOOKUP(A23,[1]IRESS!$A$11:$G$684,7,FALSE),"n/a")</f>
        <v>5296.2861999999996</v>
      </c>
      <c r="L23" s="136">
        <f>_xlfn.IFNA(VLOOKUP(A23,[1]IRESS!$A$10:$F$875,4,FALSE),"n/a")</f>
        <v>1</v>
      </c>
      <c r="M23" s="138">
        <f t="shared" si="0"/>
        <v>3.097572805493512E-2</v>
      </c>
      <c r="N23" s="139" t="e">
        <f>VLOOKUP(A23,[1]Spreads!$A$1:$G$87,2,FALSE)</f>
        <v>#N/A</v>
      </c>
      <c r="O23" s="137" t="e">
        <f>VLOOKUP(A23,[1]Spreads!$A$1:$G$87,5,FALSE)/1000</f>
        <v>#N/A</v>
      </c>
      <c r="P23" s="140" t="e">
        <f>VLOOKUP(A23,[1]Spreads!$A$1:$G$87,6,FALSE)/1000</f>
        <v>#N/A</v>
      </c>
      <c r="R23" s="141">
        <f>_xlfn.IFNA(VLOOKUP($A23,[1]IRESS!$A$11:$AE$696,6,FALSE)/100,"n/a")</f>
        <v>3.8197329999999998</v>
      </c>
      <c r="S23" s="117"/>
      <c r="T23" s="142" t="str">
        <f>IF(VLOOKUP($A23,[1]FE!$A$2:$G$498,3,FALSE)="N/A","n/a",IFERROR(VLOOKUP($A23,[1]FE!$A$2:$G$498,3,FALSE),"n/a"))</f>
        <v>2.90%</v>
      </c>
      <c r="U23" s="138" t="str">
        <f>IF(VLOOKUP($A23,[1]FE!$A$2:$G$498,4,FALSE)="N/A","n/a",IFERROR(VLOOKUP($A23,[1]FE!$A$2:$G$498,4,FALSE),"n/a"))</f>
        <v>9.08%</v>
      </c>
      <c r="V23" s="142" t="str">
        <f>IF(VLOOKUP($A23,[1]FE!$A$2:$G$498,5,FALSE)="N/A","n/a",IFERROR(VLOOKUP($A23,[1]FE!$A$2:$G$498,5,FALSE),"n/a"))</f>
        <v>16.28%</v>
      </c>
      <c r="W23" s="138" t="str">
        <f>IF(VLOOKUP($A23,[1]FE!$A$2:$G$498,6,FALSE)="N/A","n/a",IFERROR(VLOOKUP($A23,[1]FE!$A$2:$G$498,6,FALSE),"n/a"))</f>
        <v>10.30%</v>
      </c>
      <c r="X23" s="142" t="str">
        <f>IF(VLOOKUP($A23,[1]FE!$A$2:$G$498,7,FALSE)="N/A","n/a",IFERROR(VLOOKUP($A23,[1]FE!$A$2:$G$498,7,FALSE),"n/a"))</f>
        <v>11.03%</v>
      </c>
    </row>
    <row r="24" spans="1:24" ht="18.75">
      <c r="A24" s="129" t="s">
        <v>310</v>
      </c>
      <c r="B24" s="130" t="s">
        <v>298</v>
      </c>
      <c r="C24" s="131" t="str">
        <f>VLOOKUP(A24,'[1]mFund List'!$A$2:$B$368,2,FALSE)</f>
        <v>Ausbil Australian Geared Equity</v>
      </c>
      <c r="D24" s="132"/>
      <c r="E24" s="116"/>
      <c r="F24" s="133" t="str">
        <f>_xlfn.IFNA(VLOOKUP(A24,'[1]mFund List'!$A$2:$I$200,6,FALSE),"n/a")</f>
        <v>1.20%</v>
      </c>
      <c r="G24" s="134">
        <f>_xlfn.IFNA(VLOOKUP(A24,'[1]mFund List'!$A$2:$J$200,8,FALSE)/1000000,"n/a")</f>
        <v>0.87107312804189285</v>
      </c>
      <c r="H24" s="135">
        <f>_xlfn.IFNA(VLOOKUP(A24,'[1]mFund List'!$A$2:$N$200,14,FALSE)/1000000,"n/a")</f>
        <v>1.8166838660443319E-2</v>
      </c>
      <c r="I24" s="134">
        <f>_xlfn.IFNA(VLOOKUP(A24,'[1]mFund List'!$A$2:$R$200,18,FALSE)/1000000,"n/a")</f>
        <v>-2.5132055558990365E-2</v>
      </c>
      <c r="J24" s="136">
        <f>_xlfn.IFNA(VLOOKUP(A24,[1]IRESS!$A$10:$F$875,5,FALSE),"n/a")</f>
        <v>24268.74</v>
      </c>
      <c r="K24" s="137">
        <f>_xlfn.IFNA(VLOOKUP(A24,[1]IRESS!$A$11:$G$684,7,FALSE),"n/a")</f>
        <v>28575.2601</v>
      </c>
      <c r="L24" s="136">
        <f>_xlfn.IFNA(VLOOKUP(A24,[1]IRESS!$A$10:$F$875,4,FALSE),"n/a")</f>
        <v>1</v>
      </c>
      <c r="M24" s="138">
        <f t="shared" si="0"/>
        <v>2.7860737771298615E-2</v>
      </c>
      <c r="N24" s="139" t="e">
        <f>VLOOKUP(A24,[1]Spreads!$A$1:$G$87,2,FALSE)</f>
        <v>#N/A</v>
      </c>
      <c r="O24" s="137" t="e">
        <f>VLOOKUP(A24,[1]Spreads!$A$1:$G$87,5,FALSE)/1000</f>
        <v>#N/A</v>
      </c>
      <c r="P24" s="140" t="e">
        <f>VLOOKUP(A24,[1]Spreads!$A$1:$G$87,6,FALSE)/1000</f>
        <v>#N/A</v>
      </c>
      <c r="R24" s="141">
        <f>_xlfn.IFNA(VLOOKUP($A24,[1]IRESS!$A$11:$AE$696,6,FALSE)/100,"n/a")</f>
        <v>0.87950400000000006</v>
      </c>
      <c r="S24" s="117"/>
      <c r="T24" s="142" t="str">
        <f>IF(VLOOKUP($A24,[1]FE!$A$2:$G$498,3,FALSE)="N/A","n/a",IFERROR(VLOOKUP($A24,[1]FE!$A$2:$G$498,3,FALSE),"n/a"))</f>
        <v>5.08%</v>
      </c>
      <c r="U24" s="138" t="str">
        <f>IF(VLOOKUP($A24,[1]FE!$A$2:$G$498,4,FALSE)="N/A","n/a",IFERROR(VLOOKUP($A24,[1]FE!$A$2:$G$498,4,FALSE),"n/a"))</f>
        <v>18.02%</v>
      </c>
      <c r="V24" s="142" t="str">
        <f>IF(VLOOKUP($A24,[1]FE!$A$2:$G$498,5,FALSE)="N/A","n/a",IFERROR(VLOOKUP($A24,[1]FE!$A$2:$G$498,5,FALSE),"n/a"))</f>
        <v>30.65%</v>
      </c>
      <c r="W24" s="138" t="str">
        <f>IF(VLOOKUP($A24,[1]FE!$A$2:$G$498,6,FALSE)="N/A","n/a",IFERROR(VLOOKUP($A24,[1]FE!$A$2:$G$498,6,FALSE),"n/a"))</f>
        <v>17.42%</v>
      </c>
      <c r="X24" s="142" t="str">
        <f>IF(VLOOKUP($A24,[1]FE!$A$2:$G$498,7,FALSE)="N/A","n/a",IFERROR(VLOOKUP($A24,[1]FE!$A$2:$G$498,7,FALSE),"n/a"))</f>
        <v>18.98%</v>
      </c>
    </row>
    <row r="25" spans="1:24" ht="18.75">
      <c r="A25" s="129" t="s">
        <v>311</v>
      </c>
      <c r="B25" s="130" t="s">
        <v>298</v>
      </c>
      <c r="C25" s="131" t="str">
        <f>VLOOKUP(A25,'[1]mFund List'!$A$2:$B$368,2,FALSE)</f>
        <v>Ausbil 130/30 Focus Fund</v>
      </c>
      <c r="D25" s="132"/>
      <c r="E25" s="116"/>
      <c r="F25" s="133" t="str">
        <f>_xlfn.IFNA(VLOOKUP(A25,'[1]mFund List'!$A$2:$I$200,6,FALSE),"n/a")</f>
        <v>1.00%</v>
      </c>
      <c r="G25" s="134">
        <f>_xlfn.IFNA(VLOOKUP(A25,'[1]mFund List'!$A$2:$J$200,8,FALSE)/1000000,"n/a")</f>
        <v>3.113827684726818</v>
      </c>
      <c r="H25" s="135">
        <f>_xlfn.IFNA(VLOOKUP(A25,'[1]mFund List'!$A$2:$N$200,14,FALSE)/1000000,"n/a")</f>
        <v>0.82288115652567151</v>
      </c>
      <c r="I25" s="134">
        <f>_xlfn.IFNA(VLOOKUP(A25,'[1]mFund List'!$A$2:$R$200,18,FALSE)/1000000,"n/a")</f>
        <v>0.75414363505948345</v>
      </c>
      <c r="J25" s="136">
        <f>_xlfn.IFNA(VLOOKUP(A25,[1]IRESS!$A$10:$F$875,5,FALSE),"n/a")</f>
        <v>577923.46</v>
      </c>
      <c r="K25" s="137">
        <f>_xlfn.IFNA(VLOOKUP(A25,[1]IRESS!$A$11:$G$684,7,FALSE),"n/a")</f>
        <v>364784.3051</v>
      </c>
      <c r="L25" s="136">
        <f>_xlfn.IFNA(VLOOKUP(A25,[1]IRESS!$A$10:$F$875,4,FALSE),"n/a")</f>
        <v>11</v>
      </c>
      <c r="M25" s="138">
        <f t="shared" si="0"/>
        <v>0.1855990499521499</v>
      </c>
      <c r="N25" s="139" t="e">
        <f>VLOOKUP(A25,[1]Spreads!$A$1:$G$87,2,FALSE)</f>
        <v>#N/A</v>
      </c>
      <c r="O25" s="137" t="e">
        <f>VLOOKUP(A25,[1]Spreads!$A$1:$G$87,5,FALSE)/1000</f>
        <v>#N/A</v>
      </c>
      <c r="P25" s="140" t="e">
        <f>VLOOKUP(A25,[1]Spreads!$A$1:$G$87,6,FALSE)/1000</f>
        <v>#N/A</v>
      </c>
      <c r="R25" s="141">
        <f>_xlfn.IFNA(VLOOKUP($A25,[1]IRESS!$A$11:$AE$696,6,FALSE)/100,"n/a")</f>
        <v>1.605769</v>
      </c>
      <c r="S25" s="117"/>
      <c r="T25" s="142" t="str">
        <f>IF(VLOOKUP($A25,[1]FE!$A$2:$G$498,3,FALSE)="N/A","n/a",IFERROR(VLOOKUP($A25,[1]FE!$A$2:$G$498,3,FALSE),"n/a"))</f>
        <v>3.00%</v>
      </c>
      <c r="U25" s="138" t="str">
        <f>IF(VLOOKUP($A25,[1]FE!$A$2:$G$498,4,FALSE)="N/A","n/a",IFERROR(VLOOKUP($A25,[1]FE!$A$2:$G$498,4,FALSE),"n/a"))</f>
        <v>7.85%</v>
      </c>
      <c r="V25" s="142" t="str">
        <f>IF(VLOOKUP($A25,[1]FE!$A$2:$G$498,5,FALSE)="N/A","n/a",IFERROR(VLOOKUP($A25,[1]FE!$A$2:$G$498,5,FALSE),"n/a"))</f>
        <v>14.46%</v>
      </c>
      <c r="W25" s="138" t="str">
        <f>IF(VLOOKUP($A25,[1]FE!$A$2:$G$498,6,FALSE)="N/A","n/a",IFERROR(VLOOKUP($A25,[1]FE!$A$2:$G$498,6,FALSE),"n/a"))</f>
        <v>12.69%</v>
      </c>
      <c r="X25" s="142" t="str">
        <f>IF(VLOOKUP($A25,[1]FE!$A$2:$G$498,7,FALSE)="N/A","n/a",IFERROR(VLOOKUP($A25,[1]FE!$A$2:$G$498,7,FALSE),"n/a"))</f>
        <v>12.65%</v>
      </c>
    </row>
    <row r="26" spans="1:24" ht="18.75">
      <c r="A26" s="129" t="s">
        <v>312</v>
      </c>
      <c r="B26" s="130" t="s">
        <v>298</v>
      </c>
      <c r="C26" s="131" t="str">
        <f>VLOOKUP(A26,'[1]mFund List'!$A$2:$B$368,2,FALSE)</f>
        <v>Bennelong Australian Equities</v>
      </c>
      <c r="D26" s="132"/>
      <c r="E26" s="116"/>
      <c r="F26" s="133" t="str">
        <f>_xlfn.IFNA(VLOOKUP(A26,'[1]mFund List'!$A$2:$I$200,6,FALSE),"n/a")</f>
        <v>0.95%</v>
      </c>
      <c r="G26" s="134">
        <f>_xlfn.IFNA(VLOOKUP(A26,'[1]mFund List'!$A$2:$J$200,8,FALSE)/1000000,"n/a")</f>
        <v>2.0822229228206997</v>
      </c>
      <c r="H26" s="135">
        <f>_xlfn.IFNA(VLOOKUP(A26,'[1]mFund List'!$A$2:$N$200,14,FALSE)/1000000,"n/a")</f>
        <v>0.28980161853141989</v>
      </c>
      <c r="I26" s="134">
        <f>_xlfn.IFNA(VLOOKUP(A26,'[1]mFund List'!$A$2:$R$200,18,FALSE)/1000000,"n/a")</f>
        <v>0.23089952158709984</v>
      </c>
      <c r="J26" s="136">
        <f>_xlfn.IFNA(VLOOKUP(A26,[1]IRESS!$A$10:$F$875,5,FALSE),"n/a")</f>
        <v>289283.13</v>
      </c>
      <c r="K26" s="137">
        <f>_xlfn.IFNA(VLOOKUP(A26,[1]IRESS!$A$11:$G$684,7,FALSE),"n/a")</f>
        <v>126307.0527</v>
      </c>
      <c r="L26" s="136">
        <f>_xlfn.IFNA(VLOOKUP(A26,[1]IRESS!$A$10:$F$875,4,FALSE),"n/a")</f>
        <v>9</v>
      </c>
      <c r="M26" s="138">
        <f t="shared" si="0"/>
        <v>0.13892995165384134</v>
      </c>
      <c r="N26" s="139" t="e">
        <f>VLOOKUP(A26,[1]Spreads!$A$1:$G$87,2,FALSE)</f>
        <v>#N/A</v>
      </c>
      <c r="O26" s="137" t="e">
        <f>VLOOKUP(A26,[1]Spreads!$A$1:$G$87,5,FALSE)/1000</f>
        <v>#N/A</v>
      </c>
      <c r="P26" s="140" t="e">
        <f>VLOOKUP(A26,[1]Spreads!$A$1:$G$87,6,FALSE)/1000</f>
        <v>#N/A</v>
      </c>
      <c r="R26" s="141">
        <f>_xlfn.IFNA(VLOOKUP($A26,[1]IRESS!$A$11:$AE$696,6,FALSE)/100,"n/a")</f>
        <v>2.3069999999999999</v>
      </c>
      <c r="S26" s="117"/>
      <c r="T26" s="142" t="str">
        <f>IF(VLOOKUP($A26,[1]FE!$A$2:$G$498,3,FALSE)="N/A","n/a",IFERROR(VLOOKUP($A26,[1]FE!$A$2:$G$498,3,FALSE),"n/a"))</f>
        <v>3.29%</v>
      </c>
      <c r="U26" s="138" t="str">
        <f>IF(VLOOKUP($A26,[1]FE!$A$2:$G$498,4,FALSE)="N/A","n/a",IFERROR(VLOOKUP($A26,[1]FE!$A$2:$G$498,4,FALSE),"n/a"))</f>
        <v>14.96%</v>
      </c>
      <c r="V26" s="142" t="str">
        <f>IF(VLOOKUP($A26,[1]FE!$A$2:$G$498,5,FALSE)="N/A","n/a",IFERROR(VLOOKUP($A26,[1]FE!$A$2:$G$498,5,FALSE),"n/a"))</f>
        <v>26.32%</v>
      </c>
      <c r="W26" s="138" t="str">
        <f>IF(VLOOKUP($A26,[1]FE!$A$2:$G$498,6,FALSE)="N/A","n/a",IFERROR(VLOOKUP($A26,[1]FE!$A$2:$G$498,6,FALSE),"n/a"))</f>
        <v>16.37%</v>
      </c>
      <c r="X26" s="142" t="str">
        <f>IF(VLOOKUP($A26,[1]FE!$A$2:$G$498,7,FALSE)="N/A","n/a",IFERROR(VLOOKUP($A26,[1]FE!$A$2:$G$498,7,FALSE),"n/a"))</f>
        <v>13.56%</v>
      </c>
    </row>
    <row r="27" spans="1:24" ht="18.75">
      <c r="A27" s="129" t="s">
        <v>313</v>
      </c>
      <c r="B27" s="130" t="s">
        <v>298</v>
      </c>
      <c r="C27" s="131" t="str">
        <f>VLOOKUP(A27,'[1]mFund List'!$A$2:$B$368,2,FALSE)</f>
        <v>Bennelong Concentrated Australian Equity</v>
      </c>
      <c r="D27" s="132"/>
      <c r="E27" s="116"/>
      <c r="F27" s="133" t="str">
        <f>_xlfn.IFNA(VLOOKUP(A27,'[1]mFund List'!$A$2:$I$200,6,FALSE),"n/a")</f>
        <v>0.85%</v>
      </c>
      <c r="G27" s="134">
        <f>_xlfn.IFNA(VLOOKUP(A27,'[1]mFund List'!$A$2:$J$200,8,FALSE)/1000000,"n/a")</f>
        <v>11.403085506024649</v>
      </c>
      <c r="H27" s="135">
        <f>_xlfn.IFNA(VLOOKUP(A27,'[1]mFund List'!$A$2:$N$200,14,FALSE)/1000000,"n/a")</f>
        <v>0.86839826106373963</v>
      </c>
      <c r="I27" s="134">
        <f>_xlfn.IFNA(VLOOKUP(A27,'[1]mFund List'!$A$2:$R$200,18,FALSE)/1000000,"n/a")</f>
        <v>0.70278084491424087</v>
      </c>
      <c r="J27" s="136">
        <f>_xlfn.IFNA(VLOOKUP(A27,[1]IRESS!$A$10:$F$875,5,FALSE),"n/a")</f>
        <v>782016.91</v>
      </c>
      <c r="K27" s="137">
        <f>_xlfn.IFNA(VLOOKUP(A27,[1]IRESS!$A$11:$G$684,7,FALSE),"n/a")</f>
        <v>342389.80999999994</v>
      </c>
      <c r="L27" s="136">
        <f>_xlfn.IFNA(VLOOKUP(A27,[1]IRESS!$A$10:$F$875,4,FALSE),"n/a")</f>
        <v>27</v>
      </c>
      <c r="M27" s="138">
        <f t="shared" si="0"/>
        <v>6.8579412965625239E-2</v>
      </c>
      <c r="N27" s="139" t="e">
        <f>VLOOKUP(A27,[1]Spreads!$A$1:$G$87,2,FALSE)</f>
        <v>#N/A</v>
      </c>
      <c r="O27" s="137" t="e">
        <f>VLOOKUP(A27,[1]Spreads!$A$1:$G$87,5,FALSE)/1000</f>
        <v>#N/A</v>
      </c>
      <c r="P27" s="140" t="e">
        <f>VLOOKUP(A27,[1]Spreads!$A$1:$G$87,6,FALSE)/1000</f>
        <v>#N/A</v>
      </c>
      <c r="R27" s="141">
        <f>_xlfn.IFNA(VLOOKUP($A27,[1]IRESS!$A$11:$AE$696,6,FALSE)/100,"n/a")</f>
        <v>2.2612999999999999</v>
      </c>
      <c r="S27" s="117"/>
      <c r="T27" s="142" t="str">
        <f>IF(VLOOKUP($A27,[1]FE!$A$2:$G$498,3,FALSE)="N/A","n/a",IFERROR(VLOOKUP($A27,[1]FE!$A$2:$G$498,3,FALSE),"n/a"))</f>
        <v>1.57%</v>
      </c>
      <c r="U27" s="138" t="str">
        <f>IF(VLOOKUP($A27,[1]FE!$A$2:$G$498,4,FALSE)="N/A","n/a",IFERROR(VLOOKUP($A27,[1]FE!$A$2:$G$498,4,FALSE),"n/a"))</f>
        <v>13.81%</v>
      </c>
      <c r="V27" s="142" t="str">
        <f>IF(VLOOKUP($A27,[1]FE!$A$2:$G$498,5,FALSE)="N/A","n/a",IFERROR(VLOOKUP($A27,[1]FE!$A$2:$G$498,5,FALSE),"n/a"))</f>
        <v>29.10%</v>
      </c>
      <c r="W27" s="138" t="str">
        <f>IF(VLOOKUP($A27,[1]FE!$A$2:$G$498,6,FALSE)="N/A","n/a",IFERROR(VLOOKUP($A27,[1]FE!$A$2:$G$498,6,FALSE),"n/a"))</f>
        <v>23.04%</v>
      </c>
      <c r="X27" s="142" t="str">
        <f>IF(VLOOKUP($A27,[1]FE!$A$2:$G$498,7,FALSE)="N/A","n/a",IFERROR(VLOOKUP($A27,[1]FE!$A$2:$G$498,7,FALSE),"n/a"))</f>
        <v>19.88%</v>
      </c>
    </row>
    <row r="28" spans="1:24" ht="18.75">
      <c r="A28" s="129" t="s">
        <v>314</v>
      </c>
      <c r="B28" s="130" t="s">
        <v>298</v>
      </c>
      <c r="C28" s="131" t="str">
        <f>VLOOKUP(A28,'[1]mFund List'!$A$2:$B$368,2,FALSE)</f>
        <v>Bennelong ex-20 Australian Equities</v>
      </c>
      <c r="D28" s="132"/>
      <c r="E28" s="116"/>
      <c r="F28" s="133" t="str">
        <f>_xlfn.IFNA(VLOOKUP(A28,'[1]mFund List'!$A$2:$I$200,6,FALSE),"n/a")</f>
        <v>0.95%</v>
      </c>
      <c r="G28" s="134">
        <f>_xlfn.IFNA(VLOOKUP(A28,'[1]mFund List'!$A$2:$J$200,8,FALSE)/1000000,"n/a")</f>
        <v>22.098699089788266</v>
      </c>
      <c r="H28" s="135">
        <f>_xlfn.IFNA(VLOOKUP(A28,'[1]mFund List'!$A$2:$N$200,14,FALSE)/1000000,"n/a")</f>
        <v>1.2243844032483027</v>
      </c>
      <c r="I28" s="134">
        <f>_xlfn.IFNA(VLOOKUP(A28,'[1]mFund List'!$A$2:$R$200,18,FALSE)/1000000,"n/a")</f>
        <v>0.67086060723873564</v>
      </c>
      <c r="J28" s="136">
        <f>_xlfn.IFNA(VLOOKUP(A28,[1]IRESS!$A$10:$F$875,5,FALSE),"n/a")</f>
        <v>876913.51</v>
      </c>
      <c r="K28" s="137">
        <f>_xlfn.IFNA(VLOOKUP(A28,[1]IRESS!$A$11:$G$684,7,FALSE),"n/a")</f>
        <v>345927.42850000004</v>
      </c>
      <c r="L28" s="136">
        <f>_xlfn.IFNA(VLOOKUP(A28,[1]IRESS!$A$10:$F$875,4,FALSE),"n/a")</f>
        <v>29</v>
      </c>
      <c r="M28" s="138">
        <f t="shared" si="0"/>
        <v>3.9681680194705159E-2</v>
      </c>
      <c r="N28" s="139" t="e">
        <f>VLOOKUP(A28,[1]Spreads!$A$1:$G$87,2,FALSE)</f>
        <v>#N/A</v>
      </c>
      <c r="O28" s="137" t="e">
        <f>VLOOKUP(A28,[1]Spreads!$A$1:$G$87,5,FALSE)/1000</f>
        <v>#N/A</v>
      </c>
      <c r="P28" s="140" t="e">
        <f>VLOOKUP(A28,[1]Spreads!$A$1:$G$87,6,FALSE)/1000</f>
        <v>#N/A</v>
      </c>
      <c r="R28" s="141">
        <f>_xlfn.IFNA(VLOOKUP($A28,[1]IRESS!$A$11:$AE$696,6,FALSE)/100,"n/a")</f>
        <v>2.5510999999999999</v>
      </c>
      <c r="S28" s="117"/>
      <c r="T28" s="142" t="str">
        <f>IF(VLOOKUP($A28,[1]FE!$A$2:$G$498,3,FALSE)="N/A","n/a",IFERROR(VLOOKUP($A28,[1]FE!$A$2:$G$498,3,FALSE),"n/a"))</f>
        <v>2.65%</v>
      </c>
      <c r="U28" s="138" t="str">
        <f>IF(VLOOKUP($A28,[1]FE!$A$2:$G$498,4,FALSE)="N/A","n/a",IFERROR(VLOOKUP($A28,[1]FE!$A$2:$G$498,4,FALSE),"n/a"))</f>
        <v>13.32%</v>
      </c>
      <c r="V28" s="142" t="str">
        <f>IF(VLOOKUP($A28,[1]FE!$A$2:$G$498,5,FALSE)="N/A","n/a",IFERROR(VLOOKUP($A28,[1]FE!$A$2:$G$498,5,FALSE),"n/a"))</f>
        <v>25.24%</v>
      </c>
      <c r="W28" s="138" t="str">
        <f>IF(VLOOKUP($A28,[1]FE!$A$2:$G$498,6,FALSE)="N/A","n/a",IFERROR(VLOOKUP($A28,[1]FE!$A$2:$G$498,6,FALSE),"n/a"))</f>
        <v>20.10%</v>
      </c>
      <c r="X28" s="142" t="str">
        <f>IF(VLOOKUP($A28,[1]FE!$A$2:$G$498,7,FALSE)="N/A","n/a",IFERROR(VLOOKUP($A28,[1]FE!$A$2:$G$498,7,FALSE),"n/a"))</f>
        <v>16.11%</v>
      </c>
    </row>
    <row r="29" spans="1:24" ht="18.75">
      <c r="A29" s="129" t="s">
        <v>315</v>
      </c>
      <c r="B29" s="130" t="s">
        <v>298</v>
      </c>
      <c r="C29" s="131" t="str">
        <f>VLOOKUP(A29,'[1]mFund List'!$A$2:$B$368,2,FALSE)</f>
        <v>Bennelong Twenty20 Australian Equities</v>
      </c>
      <c r="D29" s="132"/>
      <c r="E29" s="116"/>
      <c r="F29" s="133" t="str">
        <f>_xlfn.IFNA(VLOOKUP(A29,'[1]mFund List'!$A$2:$I$200,6,FALSE),"n/a")</f>
        <v>0.39%</v>
      </c>
      <c r="G29" s="134">
        <f>_xlfn.IFNA(VLOOKUP(A29,'[1]mFund List'!$A$2:$J$200,8,FALSE)/1000000,"n/a")</f>
        <v>7.5956519044689988E-2</v>
      </c>
      <c r="H29" s="135">
        <f>_xlfn.IFNA(VLOOKUP(A29,'[1]mFund List'!$A$2:$N$200,14,FALSE)/1000000,"n/a")</f>
        <v>2.2932946377199987E-3</v>
      </c>
      <c r="I29" s="134">
        <f>_xlfn.IFNA(VLOOKUP(A29,'[1]mFund List'!$A$2:$R$200,18,FALSE)/1000000,"n/a")</f>
        <v>9.3503331299871205E-18</v>
      </c>
      <c r="J29" s="136" t="str">
        <f>_xlfn.IFNA(VLOOKUP(A29,[1]IRESS!$A$10:$F$875,5,FALSE),"n/a")</f>
        <v>0</v>
      </c>
      <c r="K29" s="137" t="str">
        <f>_xlfn.IFNA(VLOOKUP(A29,[1]IRESS!$A$11:$G$684,7,FALSE),"n/a")</f>
        <v>0</v>
      </c>
      <c r="L29" s="136" t="str">
        <f>_xlfn.IFNA(VLOOKUP(A29,[1]IRESS!$A$10:$F$875,4,FALSE),"n/a")</f>
        <v>0</v>
      </c>
      <c r="M29" s="138">
        <f t="shared" si="0"/>
        <v>0</v>
      </c>
      <c r="N29" s="139" t="e">
        <f>VLOOKUP(A29,[1]Spreads!$A$1:$G$87,2,FALSE)</f>
        <v>#N/A</v>
      </c>
      <c r="O29" s="137" t="e">
        <f>VLOOKUP(A29,[1]Spreads!$A$1:$G$87,5,FALSE)/1000</f>
        <v>#N/A</v>
      </c>
      <c r="P29" s="140" t="e">
        <f>VLOOKUP(A29,[1]Spreads!$A$1:$G$87,6,FALSE)/1000</f>
        <v>#N/A</v>
      </c>
      <c r="R29" s="141">
        <f>_xlfn.IFNA(VLOOKUP($A29,[1]IRESS!$A$11:$AE$696,6,FALSE)/100,"n/a")</f>
        <v>1.2850999999999999</v>
      </c>
      <c r="S29" s="117"/>
      <c r="T29" s="142" t="str">
        <f>IF(VLOOKUP($A29,[1]FE!$A$2:$G$498,3,FALSE)="N/A","n/a",IFERROR(VLOOKUP($A29,[1]FE!$A$2:$G$498,3,FALSE),"n/a"))</f>
        <v>3.11%</v>
      </c>
      <c r="U29" s="138" t="str">
        <f>IF(VLOOKUP($A29,[1]FE!$A$2:$G$498,4,FALSE)="N/A","n/a",IFERROR(VLOOKUP($A29,[1]FE!$A$2:$G$498,4,FALSE),"n/a"))</f>
        <v>10.30%</v>
      </c>
      <c r="V29" s="142" t="str">
        <f>IF(VLOOKUP($A29,[1]FE!$A$2:$G$498,5,FALSE)="N/A","n/a",IFERROR(VLOOKUP($A29,[1]FE!$A$2:$G$498,5,FALSE),"n/a"))</f>
        <v>18.52%</v>
      </c>
      <c r="W29" s="138" t="str">
        <f>IF(VLOOKUP($A29,[1]FE!$A$2:$G$498,6,FALSE)="N/A","n/a",IFERROR(VLOOKUP($A29,[1]FE!$A$2:$G$498,6,FALSE),"n/a"))</f>
        <v>n/a</v>
      </c>
      <c r="X29" s="142" t="str">
        <f>IF(VLOOKUP($A29,[1]FE!$A$2:$G$498,7,FALSE)="N/A","n/a",IFERROR(VLOOKUP($A29,[1]FE!$A$2:$G$498,7,FALSE),"n/a"))</f>
        <v>n/a</v>
      </c>
    </row>
    <row r="30" spans="1:24" ht="18.75">
      <c r="A30" s="129" t="s">
        <v>316</v>
      </c>
      <c r="B30" s="130" t="s">
        <v>298</v>
      </c>
      <c r="C30" s="131" t="str">
        <f>VLOOKUP(A30,'[1]mFund List'!$A$2:$B$368,2,FALSE)</f>
        <v>Eqt Wholesale Flagship Fund</v>
      </c>
      <c r="D30" s="132"/>
      <c r="E30" s="116"/>
      <c r="F30" s="133" t="str">
        <f>_xlfn.IFNA(VLOOKUP(A30,'[1]mFund List'!$A$2:$I$200,6,FALSE),"n/a")</f>
        <v>0.72%</v>
      </c>
      <c r="G30" s="134">
        <f>_xlfn.IFNA(VLOOKUP(A30,'[1]mFund List'!$A$2:$J$200,8,FALSE)/1000000,"n/a")</f>
        <v>9.7947144239520001E-2</v>
      </c>
      <c r="H30" s="135">
        <f>_xlfn.IFNA(VLOOKUP(A30,'[1]mFund List'!$A$2:$N$200,14,FALSE)/1000000,"n/a")</f>
        <v>3.5793849903599912E-3</v>
      </c>
      <c r="I30" s="134">
        <f>_xlfn.IFNA(VLOOKUP(A30,'[1]mFund List'!$A$2:$R$200,18,FALSE)/1000000,"n/a")</f>
        <v>0</v>
      </c>
      <c r="J30" s="136" t="str">
        <f>_xlfn.IFNA(VLOOKUP(A30,[1]IRESS!$A$10:$F$875,5,FALSE),"n/a")</f>
        <v>0</v>
      </c>
      <c r="K30" s="137" t="str">
        <f>_xlfn.IFNA(VLOOKUP(A30,[1]IRESS!$A$11:$G$684,7,FALSE),"n/a")</f>
        <v>0</v>
      </c>
      <c r="L30" s="136" t="str">
        <f>_xlfn.IFNA(VLOOKUP(A30,[1]IRESS!$A$10:$F$875,4,FALSE),"n/a")</f>
        <v>0</v>
      </c>
      <c r="M30" s="138">
        <f t="shared" si="0"/>
        <v>0</v>
      </c>
      <c r="N30" s="139" t="e">
        <f>VLOOKUP(A30,[1]Spreads!$A$1:$G$87,2,FALSE)</f>
        <v>#N/A</v>
      </c>
      <c r="O30" s="137" t="e">
        <f>VLOOKUP(A30,[1]Spreads!$A$1:$G$87,5,FALSE)/1000</f>
        <v>#N/A</v>
      </c>
      <c r="P30" s="140" t="e">
        <f>VLOOKUP(A30,[1]Spreads!$A$1:$G$87,6,FALSE)/1000</f>
        <v>#N/A</v>
      </c>
      <c r="R30" s="141">
        <f>_xlfn.IFNA(VLOOKUP($A30,[1]IRESS!$A$11:$AE$696,6,FALSE)/100,"n/a")</f>
        <v>1.2396</v>
      </c>
      <c r="S30" s="117"/>
      <c r="T30" s="142" t="str">
        <f>IF(VLOOKUP($A30,[1]FE!$A$2:$G$498,3,FALSE)="N/A","n/a",IFERROR(VLOOKUP($A30,[1]FE!$A$2:$G$498,3,FALSE),"n/a"))</f>
        <v>3.44%</v>
      </c>
      <c r="U30" s="138" t="str">
        <f>IF(VLOOKUP($A30,[1]FE!$A$2:$G$498,4,FALSE)="N/A","n/a",IFERROR(VLOOKUP($A30,[1]FE!$A$2:$G$498,4,FALSE),"n/a"))</f>
        <v>7.59%</v>
      </c>
      <c r="V30" s="142" t="str">
        <f>IF(VLOOKUP($A30,[1]FE!$A$2:$G$498,5,FALSE)="N/A","n/a",IFERROR(VLOOKUP($A30,[1]FE!$A$2:$G$498,5,FALSE),"n/a"))</f>
        <v>11.01%</v>
      </c>
      <c r="W30" s="138" t="str">
        <f>IF(VLOOKUP($A30,[1]FE!$A$2:$G$498,6,FALSE)="N/A","n/a",IFERROR(VLOOKUP($A30,[1]FE!$A$2:$G$498,6,FALSE),"n/a"))</f>
        <v>6.43%</v>
      </c>
      <c r="X30" s="142" t="str">
        <f>IF(VLOOKUP($A30,[1]FE!$A$2:$G$498,7,FALSE)="N/A","n/a",IFERROR(VLOOKUP($A30,[1]FE!$A$2:$G$498,7,FALSE),"n/a"))</f>
        <v>8.40%</v>
      </c>
    </row>
    <row r="31" spans="1:24" ht="18.75">
      <c r="A31" s="129" t="s">
        <v>317</v>
      </c>
      <c r="B31" s="130" t="s">
        <v>298</v>
      </c>
      <c r="C31" s="131" t="str">
        <f>VLOOKUP(A31,'[1]mFund List'!$A$2:$B$368,2,FALSE)</f>
        <v>Eqt Australian Equity Fund</v>
      </c>
      <c r="D31" s="132"/>
      <c r="E31" s="116"/>
      <c r="F31" s="133" t="str">
        <f>_xlfn.IFNA(VLOOKUP(A31,'[1]mFund List'!$A$2:$I$200,6,FALSE),"n/a")</f>
        <v>0.87%</v>
      </c>
      <c r="G31" s="134">
        <f>_xlfn.IFNA(VLOOKUP(A31,'[1]mFund List'!$A$2:$J$200,8,FALSE)/1000000,"n/a")</f>
        <v>0.15982183265900002</v>
      </c>
      <c r="H31" s="135">
        <f>_xlfn.IFNA(VLOOKUP(A31,'[1]mFund List'!$A$2:$N$200,14,FALSE)/1000000,"n/a")</f>
        <v>7.4449377978200205E-3</v>
      </c>
      <c r="I31" s="134">
        <f>_xlfn.IFNA(VLOOKUP(A31,'[1]mFund List'!$A$2:$R$200,18,FALSE)/1000000,"n/a")</f>
        <v>1.4360523018000189E-3</v>
      </c>
      <c r="J31" s="136">
        <f>_xlfn.IFNA(VLOOKUP(A31,[1]IRESS!$A$10:$F$875,5,FALSE),"n/a")</f>
        <v>1400</v>
      </c>
      <c r="K31" s="137">
        <f>_xlfn.IFNA(VLOOKUP(A31,[1]IRESS!$A$11:$G$684,7,FALSE),"n/a")</f>
        <v>1007.0493</v>
      </c>
      <c r="L31" s="136">
        <f>_xlfn.IFNA(VLOOKUP(A31,[1]IRESS!$A$10:$F$875,4,FALSE),"n/a")</f>
        <v>1</v>
      </c>
      <c r="M31" s="138">
        <f t="shared" si="0"/>
        <v>8.759754388419987E-3</v>
      </c>
      <c r="N31" s="139" t="e">
        <f>VLOOKUP(A31,[1]Spreads!$A$1:$G$87,2,FALSE)</f>
        <v>#N/A</v>
      </c>
      <c r="O31" s="137" t="e">
        <f>VLOOKUP(A31,[1]Spreads!$A$1:$G$87,5,FALSE)/1000</f>
        <v>#N/A</v>
      </c>
      <c r="P31" s="140" t="e">
        <f>VLOOKUP(A31,[1]Spreads!$A$1:$G$87,6,FALSE)/1000</f>
        <v>#N/A</v>
      </c>
      <c r="R31" s="141">
        <f>_xlfn.IFNA(VLOOKUP($A31,[1]IRESS!$A$11:$AE$696,6,FALSE)/100,"n/a")</f>
        <v>1.4259999999999999</v>
      </c>
      <c r="S31" s="117"/>
      <c r="T31" s="142" t="str">
        <f>IF(VLOOKUP($A31,[1]FE!$A$2:$G$498,3,FALSE)="N/A","n/a",IFERROR(VLOOKUP($A31,[1]FE!$A$2:$G$498,3,FALSE),"n/a"))</f>
        <v>3.97%</v>
      </c>
      <c r="U31" s="138" t="str">
        <f>IF(VLOOKUP($A31,[1]FE!$A$2:$G$498,4,FALSE)="N/A","n/a",IFERROR(VLOOKUP($A31,[1]FE!$A$2:$G$498,4,FALSE),"n/a"))</f>
        <v>4.15%</v>
      </c>
      <c r="V31" s="142" t="str">
        <f>IF(VLOOKUP($A31,[1]FE!$A$2:$G$498,5,FALSE)="N/A","n/a",IFERROR(VLOOKUP($A31,[1]FE!$A$2:$G$498,5,FALSE),"n/a"))</f>
        <v>1.13%</v>
      </c>
      <c r="W31" s="138" t="str">
        <f>IF(VLOOKUP($A31,[1]FE!$A$2:$G$498,6,FALSE)="N/A","n/a",IFERROR(VLOOKUP($A31,[1]FE!$A$2:$G$498,6,FALSE),"n/a"))</f>
        <v>2.29%</v>
      </c>
      <c r="X31" s="142" t="str">
        <f>IF(VLOOKUP($A31,[1]FE!$A$2:$G$498,7,FALSE)="N/A","n/a",IFERROR(VLOOKUP($A31,[1]FE!$A$2:$G$498,7,FALSE),"n/a"))</f>
        <v>n/a</v>
      </c>
    </row>
    <row r="32" spans="1:24" ht="18.75">
      <c r="A32" s="129" t="s">
        <v>318</v>
      </c>
      <c r="B32" s="130" t="s">
        <v>298</v>
      </c>
      <c r="C32" s="131" t="str">
        <f>VLOOKUP(A32,'[1]mFund List'!$A$2:$B$368,2,FALSE)</f>
        <v>Fidelity Australian Equities</v>
      </c>
      <c r="D32" s="132"/>
      <c r="E32" s="116"/>
      <c r="F32" s="133" t="str">
        <f>_xlfn.IFNA(VLOOKUP(A32,'[1]mFund List'!$A$2:$I$200,6,FALSE),"n/a")</f>
        <v>0.85%</v>
      </c>
      <c r="G32" s="134">
        <f>_xlfn.IFNA(VLOOKUP(A32,'[1]mFund List'!$A$2:$J$200,8,FALSE)/1000000,"n/a")</f>
        <v>11.174282807892</v>
      </c>
      <c r="H32" s="135">
        <f>_xlfn.IFNA(VLOOKUP(A32,'[1]mFund List'!$A$2:$N$200,14,FALSE)/1000000,"n/a")</f>
        <v>0.54901575019100124</v>
      </c>
      <c r="I32" s="134">
        <f>_xlfn.IFNA(VLOOKUP(A32,'[1]mFund List'!$A$2:$R$200,18,FALSE)/1000000,"n/a")</f>
        <v>0.1641295294</v>
      </c>
      <c r="J32" s="136">
        <f>_xlfn.IFNA(VLOOKUP(A32,[1]IRESS!$A$10:$F$875,5,FALSE),"n/a")</f>
        <v>341034.5</v>
      </c>
      <c r="K32" s="137">
        <f>_xlfn.IFNA(VLOOKUP(A32,[1]IRESS!$A$11:$G$684,7,FALSE),"n/a")</f>
        <v>10219.43</v>
      </c>
      <c r="L32" s="136">
        <f>_xlfn.IFNA(VLOOKUP(A32,[1]IRESS!$A$10:$F$875,4,FALSE),"n/a")</f>
        <v>11</v>
      </c>
      <c r="M32" s="138">
        <f t="shared" si="0"/>
        <v>3.0519587329500861E-2</v>
      </c>
      <c r="N32" s="139" t="e">
        <f>VLOOKUP(A32,[1]Spreads!$A$1:$G$87,2,FALSE)</f>
        <v>#N/A</v>
      </c>
      <c r="O32" s="137" t="e">
        <f>VLOOKUP(A32,[1]Spreads!$A$1:$G$87,5,FALSE)/1000</f>
        <v>#N/A</v>
      </c>
      <c r="P32" s="140" t="e">
        <f>VLOOKUP(A32,[1]Spreads!$A$1:$G$87,6,FALSE)/1000</f>
        <v>#N/A</v>
      </c>
      <c r="R32" s="141">
        <f>_xlfn.IFNA(VLOOKUP($A32,[1]IRESS!$A$11:$AE$696,6,FALSE)/100,"n/a")</f>
        <v>33.935600000000001</v>
      </c>
      <c r="S32" s="117"/>
      <c r="T32" s="142" t="str">
        <f>IF(VLOOKUP($A32,[1]FE!$A$2:$G$498,3,FALSE)="N/A","n/a",IFERROR(VLOOKUP($A32,[1]FE!$A$2:$G$498,3,FALSE),"n/a"))</f>
        <v>3.62%</v>
      </c>
      <c r="U32" s="138" t="str">
        <f>IF(VLOOKUP($A32,[1]FE!$A$2:$G$498,4,FALSE)="N/A","n/a",IFERROR(VLOOKUP($A32,[1]FE!$A$2:$G$498,4,FALSE),"n/a"))</f>
        <v>10.92%</v>
      </c>
      <c r="V32" s="142" t="str">
        <f>IF(VLOOKUP($A32,[1]FE!$A$2:$G$498,5,FALSE)="N/A","n/a",IFERROR(VLOOKUP($A32,[1]FE!$A$2:$G$498,5,FALSE),"n/a"))</f>
        <v>15.15%</v>
      </c>
      <c r="W32" s="138" t="str">
        <f>IF(VLOOKUP($A32,[1]FE!$A$2:$G$498,6,FALSE)="N/A","n/a",IFERROR(VLOOKUP($A32,[1]FE!$A$2:$G$498,6,FALSE),"n/a"))</f>
        <v>9.42%</v>
      </c>
      <c r="X32" s="142" t="str">
        <f>IF(VLOOKUP($A32,[1]FE!$A$2:$G$498,7,FALSE)="N/A","n/a",IFERROR(VLOOKUP($A32,[1]FE!$A$2:$G$498,7,FALSE),"n/a"))</f>
        <v>10.93%</v>
      </c>
    </row>
    <row r="33" spans="1:24" ht="18.75">
      <c r="A33" s="129" t="s">
        <v>319</v>
      </c>
      <c r="B33" s="130" t="s">
        <v>298</v>
      </c>
      <c r="C33" s="131" t="str">
        <f>VLOOKUP(A33,'[1]mFund List'!$A$2:$B$368,2,FALSE)</f>
        <v>Fidelity Australian Opportunities</v>
      </c>
      <c r="D33" s="132"/>
      <c r="E33" s="116"/>
      <c r="F33" s="133" t="str">
        <f>_xlfn.IFNA(VLOOKUP(A33,'[1]mFund List'!$A$2:$I$200,6,FALSE),"n/a")</f>
        <v>0.85%</v>
      </c>
      <c r="G33" s="134">
        <f>_xlfn.IFNA(VLOOKUP(A33,'[1]mFund List'!$A$2:$J$200,8,FALSE)/1000000,"n/a")</f>
        <v>1.0074686806169999</v>
      </c>
      <c r="H33" s="135">
        <f>_xlfn.IFNA(VLOOKUP(A33,'[1]mFund List'!$A$2:$N$200,14,FALSE)/1000000,"n/a")</f>
        <v>2.8147297722999939E-2</v>
      </c>
      <c r="I33" s="134">
        <f>_xlfn.IFNA(VLOOKUP(A33,'[1]mFund List'!$A$2:$R$200,18,FALSE)/1000000,"n/a")</f>
        <v>0</v>
      </c>
      <c r="J33" s="136" t="str">
        <f>_xlfn.IFNA(VLOOKUP(A33,[1]IRESS!$A$10:$F$875,5,FALSE),"n/a")</f>
        <v>0</v>
      </c>
      <c r="K33" s="137" t="str">
        <f>_xlfn.IFNA(VLOOKUP(A33,[1]IRESS!$A$11:$G$684,7,FALSE),"n/a")</f>
        <v>0</v>
      </c>
      <c r="L33" s="136" t="str">
        <f>_xlfn.IFNA(VLOOKUP(A33,[1]IRESS!$A$10:$F$875,4,FALSE),"n/a")</f>
        <v>0</v>
      </c>
      <c r="M33" s="138">
        <f t="shared" si="0"/>
        <v>0</v>
      </c>
      <c r="N33" s="139" t="e">
        <f>VLOOKUP(A33,[1]Spreads!$A$1:$G$87,2,FALSE)</f>
        <v>#N/A</v>
      </c>
      <c r="O33" s="137" t="e">
        <f>VLOOKUP(A33,[1]Spreads!$A$1:$G$87,5,FALSE)/1000</f>
        <v>#N/A</v>
      </c>
      <c r="P33" s="140" t="e">
        <f>VLOOKUP(A33,[1]Spreads!$A$1:$G$87,6,FALSE)/1000</f>
        <v>#N/A</v>
      </c>
      <c r="R33" s="141">
        <f>_xlfn.IFNA(VLOOKUP($A33,[1]IRESS!$A$11:$AE$696,6,FALSE)/100,"n/a")</f>
        <v>16.9407</v>
      </c>
      <c r="S33" s="117"/>
      <c r="T33" s="142" t="str">
        <f>IF(VLOOKUP($A33,[1]FE!$A$2:$G$498,3,FALSE)="N/A","n/a",IFERROR(VLOOKUP($A33,[1]FE!$A$2:$G$498,3,FALSE),"n/a"))</f>
        <v>2.87%</v>
      </c>
      <c r="U33" s="138" t="str">
        <f>IF(VLOOKUP($A33,[1]FE!$A$2:$G$498,4,FALSE)="N/A","n/a",IFERROR(VLOOKUP($A33,[1]FE!$A$2:$G$498,4,FALSE),"n/a"))</f>
        <v>7.97%</v>
      </c>
      <c r="V33" s="142" t="str">
        <f>IF(VLOOKUP($A33,[1]FE!$A$2:$G$498,5,FALSE)="N/A","n/a",IFERROR(VLOOKUP($A33,[1]FE!$A$2:$G$498,5,FALSE),"n/a"))</f>
        <v>16.27%</v>
      </c>
      <c r="W33" s="138" t="str">
        <f>IF(VLOOKUP($A33,[1]FE!$A$2:$G$498,6,FALSE)="N/A","n/a",IFERROR(VLOOKUP($A33,[1]FE!$A$2:$G$498,6,FALSE),"n/a"))</f>
        <v>12.04%</v>
      </c>
      <c r="X33" s="142" t="str">
        <f>IF(VLOOKUP($A33,[1]FE!$A$2:$G$498,7,FALSE)="N/A","n/a",IFERROR(VLOOKUP($A33,[1]FE!$A$2:$G$498,7,FALSE),"n/a"))</f>
        <v>12.77%</v>
      </c>
    </row>
    <row r="34" spans="1:24" ht="18.75">
      <c r="A34" s="129" t="s">
        <v>320</v>
      </c>
      <c r="B34" s="130" t="s">
        <v>298</v>
      </c>
      <c r="C34" s="131" t="str">
        <f>VLOOKUP(A34,'[1]mFund List'!$A$2:$B$368,2,FALSE)</f>
        <v>Fidelity Future Leaders</v>
      </c>
      <c r="D34" s="132"/>
      <c r="E34" s="116"/>
      <c r="F34" s="133" t="str">
        <f>_xlfn.IFNA(VLOOKUP(A34,'[1]mFund List'!$A$2:$I$200,6,FALSE),"n/a")</f>
        <v>1.20%</v>
      </c>
      <c r="G34" s="134">
        <f>_xlfn.IFNA(VLOOKUP(A34,'[1]mFund List'!$A$2:$J$200,8,FALSE)/1000000,"n/a")</f>
        <v>3.1210703856499999</v>
      </c>
      <c r="H34" s="135">
        <f>_xlfn.IFNA(VLOOKUP(A34,'[1]mFund List'!$A$2:$N$200,14,FALSE)/1000000,"n/a")</f>
        <v>0.30845035657400033</v>
      </c>
      <c r="I34" s="134">
        <f>_xlfn.IFNA(VLOOKUP(A34,'[1]mFund List'!$A$2:$R$200,18,FALSE)/1000000,"n/a")</f>
        <v>0.23519425222399992</v>
      </c>
      <c r="J34" s="136">
        <f>_xlfn.IFNA(VLOOKUP(A34,[1]IRESS!$A$10:$F$875,5,FALSE),"n/a")</f>
        <v>237000</v>
      </c>
      <c r="K34" s="137">
        <f>_xlfn.IFNA(VLOOKUP(A34,[1]IRESS!$A$11:$G$684,7,FALSE),"n/a")</f>
        <v>12061.119999999999</v>
      </c>
      <c r="L34" s="136">
        <f>_xlfn.IFNA(VLOOKUP(A34,[1]IRESS!$A$10:$F$875,4,FALSE),"n/a")</f>
        <v>8</v>
      </c>
      <c r="M34" s="138">
        <f t="shared" si="0"/>
        <v>7.593548709752726E-2</v>
      </c>
      <c r="N34" s="139" t="e">
        <f>VLOOKUP(A34,[1]Spreads!$A$1:$G$87,2,FALSE)</f>
        <v>#N/A</v>
      </c>
      <c r="O34" s="137" t="e">
        <f>VLOOKUP(A34,[1]Spreads!$A$1:$G$87,5,FALSE)/1000</f>
        <v>#N/A</v>
      </c>
      <c r="P34" s="140" t="e">
        <f>VLOOKUP(A34,[1]Spreads!$A$1:$G$87,6,FALSE)/1000</f>
        <v>#N/A</v>
      </c>
      <c r="R34" s="141">
        <f>_xlfn.IFNA(VLOOKUP($A34,[1]IRESS!$A$11:$AE$696,6,FALSE)/100,"n/a")</f>
        <v>19.5002</v>
      </c>
      <c r="S34" s="117"/>
      <c r="T34" s="142" t="str">
        <f>IF(VLOOKUP($A34,[1]FE!$A$2:$G$498,3,FALSE)="N/A","n/a",IFERROR(VLOOKUP($A34,[1]FE!$A$2:$G$498,3,FALSE),"n/a"))</f>
        <v>2.60%</v>
      </c>
      <c r="U34" s="138" t="str">
        <f>IF(VLOOKUP($A34,[1]FE!$A$2:$G$498,4,FALSE)="N/A","n/a",IFERROR(VLOOKUP($A34,[1]FE!$A$2:$G$498,4,FALSE),"n/a"))</f>
        <v>11.13%</v>
      </c>
      <c r="V34" s="142" t="str">
        <f>IF(VLOOKUP($A34,[1]FE!$A$2:$G$498,5,FALSE)="N/A","n/a",IFERROR(VLOOKUP($A34,[1]FE!$A$2:$G$498,5,FALSE),"n/a"))</f>
        <v>29.14%</v>
      </c>
      <c r="W34" s="138" t="str">
        <f>IF(VLOOKUP($A34,[1]FE!$A$2:$G$498,6,FALSE)="N/A","n/a",IFERROR(VLOOKUP($A34,[1]FE!$A$2:$G$498,6,FALSE),"n/a"))</f>
        <v>18.91%</v>
      </c>
      <c r="X34" s="142" t="str">
        <f>IF(VLOOKUP($A34,[1]FE!$A$2:$G$498,7,FALSE)="N/A","n/a",IFERROR(VLOOKUP($A34,[1]FE!$A$2:$G$498,7,FALSE),"n/a"))</f>
        <v>n/a</v>
      </c>
    </row>
    <row r="35" spans="1:24" ht="18.75">
      <c r="A35" s="129" t="s">
        <v>321</v>
      </c>
      <c r="B35" s="130" t="s">
        <v>298</v>
      </c>
      <c r="C35" s="131" t="str">
        <f>VLOOKUP(A35,'[1]mFund List'!$A$2:$B$368,2,FALSE)</f>
        <v>Hyperion Australian Growth Companies</v>
      </c>
      <c r="D35" s="132"/>
      <c r="E35" s="116"/>
      <c r="F35" s="133" t="str">
        <f>_xlfn.IFNA(VLOOKUP(A35,'[1]mFund List'!$A$2:$I$200,6,FALSE),"n/a")</f>
        <v>0.95%</v>
      </c>
      <c r="G35" s="134">
        <f>_xlfn.IFNA(VLOOKUP(A35,'[1]mFund List'!$A$2:$J$200,8,FALSE)/1000000,"n/a")</f>
        <v>12.42858302433792</v>
      </c>
      <c r="H35" s="135">
        <f>_xlfn.IFNA(VLOOKUP(A35,'[1]mFund List'!$A$2:$N$200,14,FALSE)/1000000,"n/a")</f>
        <v>0.41449533533229865</v>
      </c>
      <c r="I35" s="134">
        <f>_xlfn.IFNA(VLOOKUP(A35,'[1]mFund List'!$A$2:$R$200,18,FALSE)/1000000,"n/a")</f>
        <v>-0.10293593621783904</v>
      </c>
      <c r="J35" s="136" t="str">
        <f>_xlfn.IFNA(VLOOKUP(A35,[1]IRESS!$A$10:$F$875,5,FALSE),"n/a")</f>
        <v>0</v>
      </c>
      <c r="K35" s="137" t="str">
        <f>_xlfn.IFNA(VLOOKUP(A35,[1]IRESS!$A$11:$G$684,7,FALSE),"n/a")</f>
        <v>0</v>
      </c>
      <c r="L35" s="136" t="str">
        <f>_xlfn.IFNA(VLOOKUP(A35,[1]IRESS!$A$10:$F$875,4,FALSE),"n/a")</f>
        <v>0</v>
      </c>
      <c r="M35" s="138">
        <f t="shared" si="0"/>
        <v>0</v>
      </c>
      <c r="N35" s="139" t="e">
        <f>VLOOKUP(A35,[1]Spreads!$A$1:$G$87,2,FALSE)</f>
        <v>#N/A</v>
      </c>
      <c r="O35" s="137" t="e">
        <f>VLOOKUP(A35,[1]Spreads!$A$1:$G$87,5,FALSE)/1000</f>
        <v>#N/A</v>
      </c>
      <c r="P35" s="140" t="e">
        <f>VLOOKUP(A35,[1]Spreads!$A$1:$G$87,6,FALSE)/1000</f>
        <v>#N/A</v>
      </c>
      <c r="R35" s="141">
        <f>_xlfn.IFNA(VLOOKUP($A35,[1]IRESS!$A$11:$AE$696,6,FALSE)/100,"n/a")</f>
        <v>3.9863999999999997</v>
      </c>
      <c r="S35" s="117"/>
      <c r="T35" s="142" t="str">
        <f>IF(VLOOKUP($A35,[1]FE!$A$2:$G$498,3,FALSE)="N/A","n/a",IFERROR(VLOOKUP($A35,[1]FE!$A$2:$G$498,3,FALSE),"n/a"))</f>
        <v>4.31%</v>
      </c>
      <c r="U35" s="138" t="str">
        <f>IF(VLOOKUP($A35,[1]FE!$A$2:$G$498,4,FALSE)="N/A","n/a",IFERROR(VLOOKUP($A35,[1]FE!$A$2:$G$498,4,FALSE),"n/a"))</f>
        <v>12.50%</v>
      </c>
      <c r="V35" s="142" t="str">
        <f>IF(VLOOKUP($A35,[1]FE!$A$2:$G$498,5,FALSE)="N/A","n/a",IFERROR(VLOOKUP($A35,[1]FE!$A$2:$G$498,5,FALSE),"n/a"))</f>
        <v>15.27%</v>
      </c>
      <c r="W35" s="138" t="str">
        <f>IF(VLOOKUP($A35,[1]FE!$A$2:$G$498,6,FALSE)="N/A","n/a",IFERROR(VLOOKUP($A35,[1]FE!$A$2:$G$498,6,FALSE),"n/a"))</f>
        <v>12.03%</v>
      </c>
      <c r="X35" s="142" t="str">
        <f>IF(VLOOKUP($A35,[1]FE!$A$2:$G$498,7,FALSE)="N/A","n/a",IFERROR(VLOOKUP($A35,[1]FE!$A$2:$G$498,7,FALSE),"n/a"))</f>
        <v>12.80%</v>
      </c>
    </row>
    <row r="36" spans="1:24" ht="18.75">
      <c r="A36" s="129" t="s">
        <v>322</v>
      </c>
      <c r="B36" s="130" t="s">
        <v>298</v>
      </c>
      <c r="C36" s="131" t="str">
        <f>VLOOKUP(A36,'[1]mFund List'!$A$2:$B$368,2,FALSE)</f>
        <v xml:space="preserve">Invesco Wholesale Australian Share Fund </v>
      </c>
      <c r="D36" s="132"/>
      <c r="E36" s="116"/>
      <c r="F36" s="133" t="str">
        <f>_xlfn.IFNA(VLOOKUP(A36,'[1]mFund List'!$A$2:$I$200,6,FALSE),"n/a")</f>
        <v>0.88%</v>
      </c>
      <c r="G36" s="134">
        <f>_xlfn.IFNA(VLOOKUP(A36,'[1]mFund List'!$A$2:$J$200,8,FALSE)/1000000,"n/a")</f>
        <v>2.2350350828E-2</v>
      </c>
      <c r="H36" s="135">
        <f>_xlfn.IFNA(VLOOKUP(A36,'[1]mFund List'!$A$2:$N$200,14,FALSE)/1000000,"n/a")</f>
        <v>7.8624592499999921E-4</v>
      </c>
      <c r="I36" s="134">
        <f>_xlfn.IFNA(VLOOKUP(A36,'[1]mFund List'!$A$2:$R$200,18,FALSE)/1000000,"n/a")</f>
        <v>0</v>
      </c>
      <c r="J36" s="136" t="str">
        <f>_xlfn.IFNA(VLOOKUP(A36,[1]IRESS!$A$10:$F$875,5,FALSE),"n/a")</f>
        <v>0</v>
      </c>
      <c r="K36" s="137" t="str">
        <f>_xlfn.IFNA(VLOOKUP(A36,[1]IRESS!$A$11:$G$684,7,FALSE),"n/a")</f>
        <v>0</v>
      </c>
      <c r="L36" s="136" t="str">
        <f>_xlfn.IFNA(VLOOKUP(A36,[1]IRESS!$A$10:$F$875,4,FALSE),"n/a")</f>
        <v>0</v>
      </c>
      <c r="M36" s="138">
        <f t="shared" si="0"/>
        <v>0</v>
      </c>
      <c r="N36" s="139" t="e">
        <f>VLOOKUP(A36,[1]Spreads!$A$1:$G$87,2,FALSE)</f>
        <v>#N/A</v>
      </c>
      <c r="O36" s="137" t="e">
        <f>VLOOKUP(A36,[1]Spreads!$A$1:$G$87,5,FALSE)/1000</f>
        <v>#N/A</v>
      </c>
      <c r="P36" s="140" t="e">
        <f>VLOOKUP(A36,[1]Spreads!$A$1:$G$87,6,FALSE)/1000</f>
        <v>#N/A</v>
      </c>
      <c r="R36" s="141">
        <f>_xlfn.IFNA(VLOOKUP($A36,[1]IRESS!$A$11:$AE$696,6,FALSE)/100,"n/a")</f>
        <v>1.0659999999999998</v>
      </c>
      <c r="S36" s="117"/>
      <c r="T36" s="142" t="str">
        <f>IF(VLOOKUP($A36,[1]FE!$A$2:$G$498,3,FALSE)="N/A","n/a",IFERROR(VLOOKUP($A36,[1]FE!$A$2:$G$498,3,FALSE),"n/a"))</f>
        <v>3.65%</v>
      </c>
      <c r="U36" s="138" t="str">
        <f>IF(VLOOKUP($A36,[1]FE!$A$2:$G$498,4,FALSE)="N/A","n/a",IFERROR(VLOOKUP($A36,[1]FE!$A$2:$G$498,4,FALSE),"n/a"))</f>
        <v>10.32%</v>
      </c>
      <c r="V36" s="142" t="str">
        <f>IF(VLOOKUP($A36,[1]FE!$A$2:$G$498,5,FALSE)="N/A","n/a",IFERROR(VLOOKUP($A36,[1]FE!$A$2:$G$498,5,FALSE),"n/a"))</f>
        <v>19.84%</v>
      </c>
      <c r="W36" s="138" t="str">
        <f>IF(VLOOKUP($A36,[1]FE!$A$2:$G$498,6,FALSE)="N/A","n/a",IFERROR(VLOOKUP($A36,[1]FE!$A$2:$G$498,6,FALSE),"n/a"))</f>
        <v>14.34%</v>
      </c>
      <c r="X36" s="142" t="str">
        <f>IF(VLOOKUP($A36,[1]FE!$A$2:$G$498,7,FALSE)="N/A","n/a",IFERROR(VLOOKUP($A36,[1]FE!$A$2:$G$498,7,FALSE),"n/a"))</f>
        <v>12.79%</v>
      </c>
    </row>
    <row r="37" spans="1:24" ht="18.75">
      <c r="A37" s="129" t="s">
        <v>323</v>
      </c>
      <c r="B37" s="130" t="s">
        <v>298</v>
      </c>
      <c r="C37" s="131" t="str">
        <f>VLOOKUP(A37,'[1]mFund List'!$A$2:$B$368,2,FALSE)</f>
        <v>Alpha Australian Blue Chip Fund</v>
      </c>
      <c r="D37" s="132"/>
      <c r="E37" s="116"/>
      <c r="F37" s="133" t="str">
        <f>_xlfn.IFNA(VLOOKUP(A37,'[1]mFund List'!$A$2:$I$200,6,FALSE),"n/a")</f>
        <v>0.51%</v>
      </c>
      <c r="G37" s="134">
        <f>_xlfn.IFNA(VLOOKUP(A37,'[1]mFund List'!$A$2:$J$200,8,FALSE)/1000000,"n/a")</f>
        <v>0.19397341012586</v>
      </c>
      <c r="H37" s="135">
        <f>_xlfn.IFNA(VLOOKUP(A37,'[1]mFund List'!$A$2:$N$200,14,FALSE)/1000000,"n/a")</f>
        <v>6.4204040640800089E-3</v>
      </c>
      <c r="I37" s="134">
        <f>_xlfn.IFNA(VLOOKUP(A37,'[1]mFund List'!$A$2:$R$200,18,FALSE)/1000000,"n/a")</f>
        <v>0</v>
      </c>
      <c r="J37" s="136" t="str">
        <f>_xlfn.IFNA(VLOOKUP(A37,[1]IRESS!$A$10:$F$875,5,FALSE),"n/a")</f>
        <v>0</v>
      </c>
      <c r="K37" s="137" t="str">
        <f>_xlfn.IFNA(VLOOKUP(A37,[1]IRESS!$A$11:$G$684,7,FALSE),"n/a")</f>
        <v>0</v>
      </c>
      <c r="L37" s="136" t="str">
        <f>_xlfn.IFNA(VLOOKUP(A37,[1]IRESS!$A$10:$F$875,4,FALSE),"n/a")</f>
        <v>0</v>
      </c>
      <c r="M37" s="138">
        <f t="shared" si="0"/>
        <v>0</v>
      </c>
      <c r="N37" s="139" t="e">
        <f>VLOOKUP(A37,[1]Spreads!$A$1:$G$87,2,FALSE)</f>
        <v>#N/A</v>
      </c>
      <c r="O37" s="137" t="e">
        <f>VLOOKUP(A37,[1]Spreads!$A$1:$G$87,5,FALSE)/1000</f>
        <v>#N/A</v>
      </c>
      <c r="P37" s="140" t="e">
        <f>VLOOKUP(A37,[1]Spreads!$A$1:$G$87,6,FALSE)/1000</f>
        <v>#N/A</v>
      </c>
      <c r="R37" s="141">
        <f>_xlfn.IFNA(VLOOKUP($A37,[1]IRESS!$A$11:$AE$696,6,FALSE)/100,"n/a")</f>
        <v>0.95469999999999999</v>
      </c>
      <c r="S37" s="117"/>
      <c r="T37" s="142" t="str">
        <f>IF(VLOOKUP($A37,[1]FE!$A$2:$G$498,3,FALSE)="N/A","n/a",IFERROR(VLOOKUP($A37,[1]FE!$A$2:$G$498,3,FALSE),"n/a"))</f>
        <v>2.89%</v>
      </c>
      <c r="U37" s="138" t="str">
        <f>IF(VLOOKUP($A37,[1]FE!$A$2:$G$498,4,FALSE)="N/A","n/a",IFERROR(VLOOKUP($A37,[1]FE!$A$2:$G$498,4,FALSE),"n/a"))</f>
        <v>9.62%</v>
      </c>
      <c r="V37" s="142" t="str">
        <f>IF(VLOOKUP($A37,[1]FE!$A$2:$G$498,5,FALSE)="N/A","n/a",IFERROR(VLOOKUP($A37,[1]FE!$A$2:$G$498,5,FALSE),"n/a"))</f>
        <v>16.04%</v>
      </c>
      <c r="W37" s="138" t="str">
        <f>IF(VLOOKUP($A37,[1]FE!$A$2:$G$498,6,FALSE)="N/A","n/a",IFERROR(VLOOKUP($A37,[1]FE!$A$2:$G$498,6,FALSE),"n/a"))</f>
        <v>12.36%</v>
      </c>
      <c r="X37" s="142" t="str">
        <f>IF(VLOOKUP($A37,[1]FE!$A$2:$G$498,7,FALSE)="N/A","n/a",IFERROR(VLOOKUP($A37,[1]FE!$A$2:$G$498,7,FALSE),"n/a"))</f>
        <v>11.22%</v>
      </c>
    </row>
    <row r="38" spans="1:24" ht="18.75">
      <c r="A38" s="129" t="s">
        <v>324</v>
      </c>
      <c r="B38" s="130" t="s">
        <v>298</v>
      </c>
      <c r="C38" s="131" t="str">
        <f>VLOOKUP(A38,'[1]mFund List'!$A$2:$B$368,2,FALSE)</f>
        <v>Legg Mason Australian Equity Income Trust A</v>
      </c>
      <c r="D38" s="132"/>
      <c r="E38" s="116"/>
      <c r="F38" s="133" t="str">
        <f>_xlfn.IFNA(VLOOKUP(A38,'[1]mFund List'!$A$2:$I$200,6,FALSE),"n/a")</f>
        <v>0.85%</v>
      </c>
      <c r="G38" s="134">
        <f>_xlfn.IFNA(VLOOKUP(A38,'[1]mFund List'!$A$2:$J$200,8,FALSE)/1000000,"n/a")</f>
        <v>1.6927728865686</v>
      </c>
      <c r="H38" s="135">
        <f>_xlfn.IFNA(VLOOKUP(A38,'[1]mFund List'!$A$2:$N$200,14,FALSE)/1000000,"n/a")</f>
        <v>4.8875041678710374E-2</v>
      </c>
      <c r="I38" s="134">
        <f>_xlfn.IFNA(VLOOKUP(A38,'[1]mFund List'!$A$2:$R$200,18,FALSE)/1000000,"n/a")</f>
        <v>8.770297073520051E-3</v>
      </c>
      <c r="J38" s="136">
        <f>_xlfn.IFNA(VLOOKUP(A38,[1]IRESS!$A$10:$F$875,5,FALSE),"n/a")</f>
        <v>70378.03</v>
      </c>
      <c r="K38" s="137">
        <f>_xlfn.IFNA(VLOOKUP(A38,[1]IRESS!$A$11:$G$684,7,FALSE),"n/a")</f>
        <v>55682.97</v>
      </c>
      <c r="L38" s="136">
        <f>_xlfn.IFNA(VLOOKUP(A38,[1]IRESS!$A$10:$F$875,4,FALSE),"n/a")</f>
        <v>2</v>
      </c>
      <c r="M38" s="138">
        <f t="shared" si="0"/>
        <v>4.1575589116778965E-2</v>
      </c>
      <c r="N38" s="139" t="e">
        <f>VLOOKUP(A38,[1]Spreads!$A$1:$G$87,2,FALSE)</f>
        <v>#N/A</v>
      </c>
      <c r="O38" s="137" t="e">
        <f>VLOOKUP(A38,[1]Spreads!$A$1:$G$87,5,FALSE)/1000</f>
        <v>#N/A</v>
      </c>
      <c r="P38" s="140" t="e">
        <f>VLOOKUP(A38,[1]Spreads!$A$1:$G$87,6,FALSE)/1000</f>
        <v>#N/A</v>
      </c>
      <c r="R38" s="141">
        <f>_xlfn.IFNA(VLOOKUP($A38,[1]IRESS!$A$11:$AE$696,6,FALSE)/100,"n/a")</f>
        <v>1.27356</v>
      </c>
      <c r="S38" s="117"/>
      <c r="T38" s="142" t="str">
        <f>IF(VLOOKUP($A38,[1]FE!$A$2:$G$498,3,FALSE)="N/A","n/a",IFERROR(VLOOKUP($A38,[1]FE!$A$2:$G$498,3,FALSE),"n/a"))</f>
        <v>2.45%</v>
      </c>
      <c r="U38" s="138" t="str">
        <f>IF(VLOOKUP($A38,[1]FE!$A$2:$G$498,4,FALSE)="N/A","n/a",IFERROR(VLOOKUP($A38,[1]FE!$A$2:$G$498,4,FALSE),"n/a"))</f>
        <v>3.32%</v>
      </c>
      <c r="V38" s="142" t="str">
        <f>IF(VLOOKUP($A38,[1]FE!$A$2:$G$498,5,FALSE)="N/A","n/a",IFERROR(VLOOKUP($A38,[1]FE!$A$2:$G$498,5,FALSE),"n/a"))</f>
        <v>4.80%</v>
      </c>
      <c r="W38" s="138" t="str">
        <f>IF(VLOOKUP($A38,[1]FE!$A$2:$G$498,6,FALSE)="N/A","n/a",IFERROR(VLOOKUP($A38,[1]FE!$A$2:$G$498,6,FALSE),"n/a"))</f>
        <v>8.55%</v>
      </c>
      <c r="X38" s="142" t="str">
        <f>IF(VLOOKUP($A38,[1]FE!$A$2:$G$498,7,FALSE)="N/A","n/a",IFERROR(VLOOKUP($A38,[1]FE!$A$2:$G$498,7,FALSE),"n/a"))</f>
        <v>9.92%</v>
      </c>
    </row>
    <row r="39" spans="1:24" ht="18.75">
      <c r="A39" s="129" t="s">
        <v>325</v>
      </c>
      <c r="B39" s="130" t="s">
        <v>298</v>
      </c>
      <c r="C39" s="131" t="str">
        <f>VLOOKUP(A39,'[1]mFund List'!$A$2:$B$368,2,FALSE)</f>
        <v>Merlon Wholesale Aus Share Income Fund</v>
      </c>
      <c r="D39" s="132"/>
      <c r="E39" s="116"/>
      <c r="F39" s="133" t="str">
        <f>_xlfn.IFNA(VLOOKUP(A39,'[1]mFund List'!$A$2:$I$200,6,FALSE),"n/a")</f>
        <v>0.95%</v>
      </c>
      <c r="G39" s="134">
        <f>_xlfn.IFNA(VLOOKUP(A39,'[1]mFund List'!$A$2:$J$200,8,FALSE)/1000000,"n/a")</f>
        <v>8.1881580756534795</v>
      </c>
      <c r="H39" s="135">
        <f>_xlfn.IFNA(VLOOKUP(A39,'[1]mFund List'!$A$2:$N$200,14,FALSE)/1000000,"n/a")</f>
        <v>0.26666299026049767</v>
      </c>
      <c r="I39" s="134">
        <f>_xlfn.IFNA(VLOOKUP(A39,'[1]mFund List'!$A$2:$R$200,18,FALSE)/1000000,"n/a")</f>
        <v>0.17972146161925998</v>
      </c>
      <c r="J39" s="136">
        <f>_xlfn.IFNA(VLOOKUP(A39,[1]IRESS!$A$10:$F$875,5,FALSE),"n/a")</f>
        <v>193418.02000000002</v>
      </c>
      <c r="K39" s="137">
        <f>_xlfn.IFNA(VLOOKUP(A39,[1]IRESS!$A$11:$G$684,7,FALSE),"n/a")</f>
        <v>170887.06630000001</v>
      </c>
      <c r="L39" s="136">
        <f>_xlfn.IFNA(VLOOKUP(A39,[1]IRESS!$A$10:$F$875,4,FALSE),"n/a")</f>
        <v>16</v>
      </c>
      <c r="M39" s="138">
        <f t="shared" si="0"/>
        <v>2.3621676354185887E-2</v>
      </c>
      <c r="N39" s="139" t="e">
        <f>VLOOKUP(A39,[1]Spreads!$A$1:$G$87,2,FALSE)</f>
        <v>#N/A</v>
      </c>
      <c r="O39" s="137" t="e">
        <f>VLOOKUP(A39,[1]Spreads!$A$1:$G$87,5,FALSE)/1000</f>
        <v>#N/A</v>
      </c>
      <c r="P39" s="140" t="e">
        <f>VLOOKUP(A39,[1]Spreads!$A$1:$G$87,6,FALSE)/1000</f>
        <v>#N/A</v>
      </c>
      <c r="R39" s="141">
        <f>_xlfn.IFNA(VLOOKUP($A39,[1]IRESS!$A$11:$AE$696,6,FALSE)/100,"n/a")</f>
        <v>1.1421999999999999</v>
      </c>
      <c r="S39" s="117"/>
      <c r="T39" s="142" t="str">
        <f>IF(VLOOKUP($A39,[1]FE!$A$2:$G$498,3,FALSE)="N/A","n/a",IFERROR(VLOOKUP($A39,[1]FE!$A$2:$G$498,3,FALSE),"n/a"))</f>
        <v>1.57%</v>
      </c>
      <c r="U39" s="138" t="str">
        <f>IF(VLOOKUP($A39,[1]FE!$A$2:$G$498,4,FALSE)="N/A","n/a",IFERROR(VLOOKUP($A39,[1]FE!$A$2:$G$498,4,FALSE),"n/a"))</f>
        <v>2.29%</v>
      </c>
      <c r="V39" s="142" t="str">
        <f>IF(VLOOKUP($A39,[1]FE!$A$2:$G$498,5,FALSE)="N/A","n/a",IFERROR(VLOOKUP($A39,[1]FE!$A$2:$G$498,5,FALSE),"n/a"))</f>
        <v>2.67%</v>
      </c>
      <c r="W39" s="138" t="str">
        <f>IF(VLOOKUP($A39,[1]FE!$A$2:$G$498,6,FALSE)="N/A","n/a",IFERROR(VLOOKUP($A39,[1]FE!$A$2:$G$498,6,FALSE),"n/a"))</f>
        <v>6.81%</v>
      </c>
      <c r="X39" s="142" t="str">
        <f>IF(VLOOKUP($A39,[1]FE!$A$2:$G$498,7,FALSE)="N/A","n/a",IFERROR(VLOOKUP($A39,[1]FE!$A$2:$G$498,7,FALSE),"n/a"))</f>
        <v>7.08%</v>
      </c>
    </row>
    <row r="40" spans="1:24" ht="18.75">
      <c r="A40" s="129" t="s">
        <v>326</v>
      </c>
      <c r="B40" s="130" t="s">
        <v>298</v>
      </c>
      <c r="C40" s="131" t="str">
        <f>VLOOKUP(A40,'[1]mFund List'!$A$2:$B$368,2,FALSE)</f>
        <v>Plato Australian Shares Income</v>
      </c>
      <c r="D40" s="132"/>
      <c r="E40" s="116"/>
      <c r="F40" s="133" t="str">
        <f>_xlfn.IFNA(VLOOKUP(A40,'[1]mFund List'!$A$2:$I$200,6,FALSE),"n/a")</f>
        <v>0.90%</v>
      </c>
      <c r="G40" s="134">
        <f>_xlfn.IFNA(VLOOKUP(A40,'[1]mFund List'!$A$2:$J$200,8,FALSE)/1000000,"n/a")</f>
        <v>17.118636597408898</v>
      </c>
      <c r="H40" s="135">
        <f>_xlfn.IFNA(VLOOKUP(A40,'[1]mFund List'!$A$2:$N$200,14,FALSE)/1000000,"n/a")</f>
        <v>0.73511696060723808</v>
      </c>
      <c r="I40" s="134">
        <f>_xlfn.IFNA(VLOOKUP(A40,'[1]mFund List'!$A$2:$R$200,18,FALSE)/1000000,"n/a")</f>
        <v>0.18433489617749871</v>
      </c>
      <c r="J40" s="136">
        <f>_xlfn.IFNA(VLOOKUP(A40,[1]IRESS!$A$10:$F$875,5,FALSE),"n/a")</f>
        <v>261225.5</v>
      </c>
      <c r="K40" s="137">
        <f>_xlfn.IFNA(VLOOKUP(A40,[1]IRESS!$A$11:$G$684,7,FALSE),"n/a")</f>
        <v>202129.02429999999</v>
      </c>
      <c r="L40" s="136">
        <f>_xlfn.IFNA(VLOOKUP(A40,[1]IRESS!$A$10:$F$875,4,FALSE),"n/a")</f>
        <v>4</v>
      </c>
      <c r="M40" s="138">
        <f t="shared" si="0"/>
        <v>1.5259714084913717E-2</v>
      </c>
      <c r="N40" s="139" t="e">
        <f>VLOOKUP(A40,[1]Spreads!$A$1:$G$87,2,FALSE)</f>
        <v>#N/A</v>
      </c>
      <c r="O40" s="137" t="e">
        <f>VLOOKUP(A40,[1]Spreads!$A$1:$G$87,5,FALSE)/1000</f>
        <v>#N/A</v>
      </c>
      <c r="P40" s="140" t="e">
        <f>VLOOKUP(A40,[1]Spreads!$A$1:$G$87,6,FALSE)/1000</f>
        <v>#N/A</v>
      </c>
      <c r="R40" s="141">
        <f>_xlfn.IFNA(VLOOKUP($A40,[1]IRESS!$A$11:$AE$696,6,FALSE)/100,"n/a")</f>
        <v>1.319</v>
      </c>
      <c r="S40" s="117"/>
      <c r="T40" s="142" t="str">
        <f>IF(VLOOKUP($A40,[1]FE!$A$2:$G$498,3,FALSE)="N/A","n/a",IFERROR(VLOOKUP($A40,[1]FE!$A$2:$G$498,3,FALSE),"n/a"))</f>
        <v>3.36%</v>
      </c>
      <c r="U40" s="138" t="str">
        <f>IF(VLOOKUP($A40,[1]FE!$A$2:$G$498,4,FALSE)="N/A","n/a",IFERROR(VLOOKUP($A40,[1]FE!$A$2:$G$498,4,FALSE),"n/a"))</f>
        <v>8.55%</v>
      </c>
      <c r="V40" s="142" t="str">
        <f>IF(VLOOKUP($A40,[1]FE!$A$2:$G$498,5,FALSE)="N/A","n/a",IFERROR(VLOOKUP($A40,[1]FE!$A$2:$G$498,5,FALSE),"n/a"))</f>
        <v>10.48%</v>
      </c>
      <c r="W40" s="138" t="str">
        <f>IF(VLOOKUP($A40,[1]FE!$A$2:$G$498,6,FALSE)="N/A","n/a",IFERROR(VLOOKUP($A40,[1]FE!$A$2:$G$498,6,FALSE),"n/a"))</f>
        <v>7.21%</v>
      </c>
      <c r="X40" s="142" t="str">
        <f>IF(VLOOKUP($A40,[1]FE!$A$2:$G$498,7,FALSE)="N/A","n/a",IFERROR(VLOOKUP($A40,[1]FE!$A$2:$G$498,7,FALSE),"n/a"))</f>
        <v>9.11%</v>
      </c>
    </row>
    <row r="41" spans="1:24" ht="18.75">
      <c r="A41" s="129" t="s">
        <v>327</v>
      </c>
      <c r="B41" s="130" t="s">
        <v>298</v>
      </c>
      <c r="C41" s="131" t="str">
        <f>VLOOKUP(A41,'[1]mFund List'!$A$2:$B$368,2,FALSE)</f>
        <v>Plato Australian Shares Income (Managed Risk)</v>
      </c>
      <c r="D41" s="132"/>
      <c r="E41" s="116"/>
      <c r="F41" s="133" t="str">
        <f>_xlfn.IFNA(VLOOKUP(A41,'[1]mFund List'!$A$2:$I$200,6,FALSE),"n/a")</f>
        <v>0.99%</v>
      </c>
      <c r="G41" s="134">
        <f>_xlfn.IFNA(VLOOKUP(A41,'[1]mFund List'!$A$2:$J$200,8,FALSE)/1000000,"n/a")</f>
        <v>1.2979211878456602</v>
      </c>
      <c r="H41" s="135">
        <f>_xlfn.IFNA(VLOOKUP(A41,'[1]mFund List'!$A$2:$N$200,14,FALSE)/1000000,"n/a")</f>
        <v>0.23613142915366031</v>
      </c>
      <c r="I41" s="134">
        <f>_xlfn.IFNA(VLOOKUP(A41,'[1]mFund List'!$A$2:$R$200,18,FALSE)/1000000,"n/a")</f>
        <v>0.20745710685678012</v>
      </c>
      <c r="J41" s="136">
        <f>_xlfn.IFNA(VLOOKUP(A41,[1]IRESS!$A$10:$F$875,5,FALSE),"n/a")</f>
        <v>205000</v>
      </c>
      <c r="K41" s="137">
        <f>_xlfn.IFNA(VLOOKUP(A41,[1]IRESS!$A$11:$G$684,7,FALSE),"n/a")</f>
        <v>228250.75020000001</v>
      </c>
      <c r="L41" s="136">
        <f>_xlfn.IFNA(VLOOKUP(A41,[1]IRESS!$A$10:$F$875,4,FALSE),"n/a")</f>
        <v>2</v>
      </c>
      <c r="M41" s="138">
        <f t="shared" si="0"/>
        <v>0.15794487517402112</v>
      </c>
      <c r="N41" s="139" t="e">
        <f>VLOOKUP(A41,[1]Spreads!$A$1:$G$87,2,FALSE)</f>
        <v>#N/A</v>
      </c>
      <c r="O41" s="137" t="e">
        <f>VLOOKUP(A41,[1]Spreads!$A$1:$G$87,5,FALSE)/1000</f>
        <v>#N/A</v>
      </c>
      <c r="P41" s="140" t="e">
        <f>VLOOKUP(A41,[1]Spreads!$A$1:$G$87,6,FALSE)/1000</f>
        <v>#N/A</v>
      </c>
      <c r="R41" s="141">
        <f>_xlfn.IFNA(VLOOKUP($A41,[1]IRESS!$A$11:$AE$696,6,FALSE)/100,"n/a")</f>
        <v>0.90890000000000004</v>
      </c>
      <c r="S41" s="117"/>
      <c r="T41" s="142" t="str">
        <f>IF(VLOOKUP($A41,[1]FE!$A$2:$G$498,3,FALSE)="N/A","n/a",IFERROR(VLOOKUP($A41,[1]FE!$A$2:$G$498,3,FALSE),"n/a"))</f>
        <v>2.70%</v>
      </c>
      <c r="U41" s="138" t="str">
        <f>IF(VLOOKUP($A41,[1]FE!$A$2:$G$498,4,FALSE)="N/A","n/a",IFERROR(VLOOKUP($A41,[1]FE!$A$2:$G$498,4,FALSE),"n/a"))</f>
        <v>5.68%</v>
      </c>
      <c r="V41" s="142" t="str">
        <f>IF(VLOOKUP($A41,[1]FE!$A$2:$G$498,5,FALSE)="N/A","n/a",IFERROR(VLOOKUP($A41,[1]FE!$A$2:$G$498,5,FALSE),"n/a"))</f>
        <v>6.32%</v>
      </c>
      <c r="W41" s="138" t="str">
        <f>IF(VLOOKUP($A41,[1]FE!$A$2:$G$498,6,FALSE)="N/A","n/a",IFERROR(VLOOKUP($A41,[1]FE!$A$2:$G$498,6,FALSE),"n/a"))</f>
        <v>2.66%</v>
      </c>
      <c r="X41" s="142" t="str">
        <f>IF(VLOOKUP($A41,[1]FE!$A$2:$G$498,7,FALSE)="N/A","n/a",IFERROR(VLOOKUP($A41,[1]FE!$A$2:$G$498,7,FALSE),"n/a"))</f>
        <v>n/a</v>
      </c>
    </row>
    <row r="42" spans="1:24" ht="18.75">
      <c r="A42" s="129" t="s">
        <v>328</v>
      </c>
      <c r="B42" s="130" t="s">
        <v>298</v>
      </c>
      <c r="C42" s="131" t="str">
        <f>VLOOKUP(A42,'[1]mFund List'!$A$2:$B$368,2,FALSE)</f>
        <v>Redpoint Industrials Fund</v>
      </c>
      <c r="D42" s="132"/>
      <c r="E42" s="116"/>
      <c r="F42" s="133">
        <f>_xlfn.IFNA(VLOOKUP(A42,'[1]mFund List'!$A$2:$I$200,6,FALSE),"n/a")</f>
        <v>6.0000000000000001E-3</v>
      </c>
      <c r="G42" s="134">
        <f>_xlfn.IFNA(VLOOKUP(A42,'[1]mFund List'!$A$2:$J$200,8,FALSE)/1000000,"n/a")</f>
        <v>1.323904205955E-2</v>
      </c>
      <c r="H42" s="135">
        <f>_xlfn.IFNA(VLOOKUP(A42,'[1]mFund List'!$A$2:$N$200,14,FALSE)/1000000,"n/a")</f>
        <v>3.9765051485000002E-4</v>
      </c>
      <c r="I42" s="134">
        <f>_xlfn.IFNA(VLOOKUP(A42,'[1]mFund List'!$A$2:$R$200,18,FALSE)/1000000,"n/a")</f>
        <v>0</v>
      </c>
      <c r="J42" s="136" t="str">
        <f>_xlfn.IFNA(VLOOKUP(A42,[1]IRESS!$A$10:$F$875,5,FALSE),"n/a")</f>
        <v>0</v>
      </c>
      <c r="K42" s="137" t="str">
        <f>_xlfn.IFNA(VLOOKUP(A42,[1]IRESS!$A$11:$G$684,7,FALSE),"n/a")</f>
        <v>0</v>
      </c>
      <c r="L42" s="136" t="str">
        <f>_xlfn.IFNA(VLOOKUP(A42,[1]IRESS!$A$10:$F$875,4,FALSE),"n/a")</f>
        <v>0</v>
      </c>
      <c r="M42" s="138">
        <f t="shared" si="0"/>
        <v>0</v>
      </c>
      <c r="N42" s="139" t="e">
        <f>VLOOKUP(A42,[1]Spreads!$A$1:$G$87,2,FALSE)</f>
        <v>#N/A</v>
      </c>
      <c r="O42" s="137" t="e">
        <f>VLOOKUP(A42,[1]Spreads!$A$1:$G$87,5,FALSE)/1000</f>
        <v>#N/A</v>
      </c>
      <c r="P42" s="140" t="e">
        <f>VLOOKUP(A42,[1]Spreads!$A$1:$G$87,6,FALSE)/1000</f>
        <v>#N/A</v>
      </c>
      <c r="R42" s="141">
        <f>_xlfn.IFNA(VLOOKUP($A42,[1]IRESS!$A$11:$AE$696,6,FALSE)/100,"n/a")</f>
        <v>1.0221</v>
      </c>
      <c r="S42" s="117"/>
      <c r="T42" s="142" t="str">
        <f>IF(VLOOKUP($A42,[1]FE!$A$2:$G$498,3,FALSE)="N/A","n/a",IFERROR(VLOOKUP($A42,[1]FE!$A$2:$G$498,3,FALSE),"n/a"))</f>
        <v>3.10%</v>
      </c>
      <c r="U42" s="138" t="str">
        <f>IF(VLOOKUP($A42,[1]FE!$A$2:$G$498,4,FALSE)="N/A","n/a",IFERROR(VLOOKUP($A42,[1]FE!$A$2:$G$498,4,FALSE),"n/a"))</f>
        <v>6.56%</v>
      </c>
      <c r="V42" s="142" t="str">
        <f>IF(VLOOKUP($A42,[1]FE!$A$2:$G$498,5,FALSE)="N/A","n/a",IFERROR(VLOOKUP($A42,[1]FE!$A$2:$G$498,5,FALSE),"n/a"))</f>
        <v>n/a</v>
      </c>
      <c r="W42" s="138" t="str">
        <f>IF(VLOOKUP($A42,[1]FE!$A$2:$G$498,6,FALSE)="N/A","n/a",IFERROR(VLOOKUP($A42,[1]FE!$A$2:$G$498,6,FALSE),"n/a"))</f>
        <v>n/a</v>
      </c>
      <c r="X42" s="142" t="str">
        <f>IF(VLOOKUP($A42,[1]FE!$A$2:$G$498,7,FALSE)="N/A","n/a",IFERROR(VLOOKUP($A42,[1]FE!$A$2:$G$498,7,FALSE),"n/a"))</f>
        <v>n/a</v>
      </c>
    </row>
    <row r="43" spans="1:24" ht="18.75">
      <c r="A43" s="129" t="s">
        <v>329</v>
      </c>
      <c r="B43" s="130" t="s">
        <v>298</v>
      </c>
      <c r="C43" s="131" t="str">
        <f>VLOOKUP(A43,'[1]mFund List'!$A$2:$B$368,2,FALSE)</f>
        <v>Schroder Wholesale Australian Equity</v>
      </c>
      <c r="D43" s="132"/>
      <c r="E43" s="116"/>
      <c r="F43" s="133" t="str">
        <f>_xlfn.IFNA(VLOOKUP(A43,'[1]mFund List'!$A$2:$I$200,6,FALSE),"n/a")</f>
        <v>0.92%</v>
      </c>
      <c r="G43" s="134">
        <f>_xlfn.IFNA(VLOOKUP(A43,'[1]mFund List'!$A$2:$J$200,8,FALSE)/1000000,"n/a")</f>
        <v>5.6142874851216096</v>
      </c>
      <c r="H43" s="135">
        <f>_xlfn.IFNA(VLOOKUP(A43,'[1]mFund List'!$A$2:$N$200,14,FALSE)/1000000,"n/a")</f>
        <v>0.12571910842836928</v>
      </c>
      <c r="I43" s="134">
        <f>_xlfn.IFNA(VLOOKUP(A43,'[1]mFund List'!$A$2:$R$200,18,FALSE)/1000000,"n/a")</f>
        <v>-4.9480584387629714E-2</v>
      </c>
      <c r="J43" s="136">
        <f>_xlfn.IFNA(VLOOKUP(A43,[1]IRESS!$A$10:$F$875,5,FALSE),"n/a")</f>
        <v>148244.65</v>
      </c>
      <c r="K43" s="137">
        <f>_xlfn.IFNA(VLOOKUP(A43,[1]IRESS!$A$11:$G$684,7,FALSE),"n/a")</f>
        <v>116473.3763</v>
      </c>
      <c r="L43" s="136">
        <f>_xlfn.IFNA(VLOOKUP(A43,[1]IRESS!$A$10:$F$875,4,FALSE),"n/a")</f>
        <v>4</v>
      </c>
      <c r="M43" s="138">
        <f t="shared" si="0"/>
        <v>2.6404891162567338E-2</v>
      </c>
      <c r="N43" s="139" t="e">
        <f>VLOOKUP(A43,[1]Spreads!$A$1:$G$87,2,FALSE)</f>
        <v>#N/A</v>
      </c>
      <c r="O43" s="137" t="e">
        <f>VLOOKUP(A43,[1]Spreads!$A$1:$G$87,5,FALSE)/1000</f>
        <v>#N/A</v>
      </c>
      <c r="P43" s="140" t="e">
        <f>VLOOKUP(A43,[1]Spreads!$A$1:$G$87,6,FALSE)/1000</f>
        <v>#N/A</v>
      </c>
      <c r="R43" s="141">
        <f>_xlfn.IFNA(VLOOKUP($A43,[1]IRESS!$A$11:$AE$696,6,FALSE)/100,"n/a")</f>
        <v>1.2930999999999999</v>
      </c>
      <c r="S43" s="117"/>
      <c r="T43" s="142" t="str">
        <f>IF(VLOOKUP($A43,[1]FE!$A$2:$G$498,3,FALSE)="N/A","n/a",IFERROR(VLOOKUP($A43,[1]FE!$A$2:$G$498,3,FALSE),"n/a"))</f>
        <v>3.19%</v>
      </c>
      <c r="U43" s="138" t="str">
        <f>IF(VLOOKUP($A43,[1]FE!$A$2:$G$498,4,FALSE)="N/A","n/a",IFERROR(VLOOKUP($A43,[1]FE!$A$2:$G$498,4,FALSE),"n/a"))</f>
        <v>7.53%</v>
      </c>
      <c r="V43" s="142" t="str">
        <f>IF(VLOOKUP($A43,[1]FE!$A$2:$G$498,5,FALSE)="N/A","n/a",IFERROR(VLOOKUP($A43,[1]FE!$A$2:$G$498,5,FALSE),"n/a"))</f>
        <v>12.81%</v>
      </c>
      <c r="W43" s="138" t="str">
        <f>IF(VLOOKUP($A43,[1]FE!$A$2:$G$498,6,FALSE)="N/A","n/a",IFERROR(VLOOKUP($A43,[1]FE!$A$2:$G$498,6,FALSE),"n/a"))</f>
        <v>8.14%</v>
      </c>
      <c r="X43" s="142" t="str">
        <f>IF(VLOOKUP($A43,[1]FE!$A$2:$G$498,7,FALSE)="N/A","n/a",IFERROR(VLOOKUP($A43,[1]FE!$A$2:$G$498,7,FALSE),"n/a"))</f>
        <v>8.57%</v>
      </c>
    </row>
    <row r="44" spans="1:24" ht="18.75">
      <c r="A44" s="129" t="s">
        <v>330</v>
      </c>
      <c r="B44" s="130" t="s">
        <v>298</v>
      </c>
      <c r="C44" s="131" t="str">
        <f>VLOOKUP(A44,'[1]mFund List'!$A$2:$B$368,2,FALSE)</f>
        <v>Schroder Equity Opportunities Wholesale</v>
      </c>
      <c r="D44" s="132"/>
      <c r="E44" s="116"/>
      <c r="F44" s="133" t="str">
        <f>_xlfn.IFNA(VLOOKUP(A44,'[1]mFund List'!$A$2:$I$200,6,FALSE),"n/a")</f>
        <v>0.92%</v>
      </c>
      <c r="G44" s="134">
        <f>_xlfn.IFNA(VLOOKUP(A44,'[1]mFund List'!$A$2:$J$200,8,FALSE)/1000000,"n/a")</f>
        <v>1.9008466252577998</v>
      </c>
      <c r="H44" s="135">
        <f>_xlfn.IFNA(VLOOKUP(A44,'[1]mFund List'!$A$2:$N$200,14,FALSE)/1000000,"n/a")</f>
        <v>0.27749513239467982</v>
      </c>
      <c r="I44" s="134">
        <f>_xlfn.IFNA(VLOOKUP(A44,'[1]mFund List'!$A$2:$R$200,18,FALSE)/1000000,"n/a")</f>
        <v>0.24665950471139994</v>
      </c>
      <c r="J44" s="136">
        <f>_xlfn.IFNA(VLOOKUP(A44,[1]IRESS!$A$10:$F$875,5,FALSE),"n/a")</f>
        <v>243058.14</v>
      </c>
      <c r="K44" s="137">
        <f>_xlfn.IFNA(VLOOKUP(A44,[1]IRESS!$A$11:$G$684,7,FALSE),"n/a")</f>
        <v>226500.92259999999</v>
      </c>
      <c r="L44" s="136">
        <f>_xlfn.IFNA(VLOOKUP(A44,[1]IRESS!$A$10:$F$875,4,FALSE),"n/a")</f>
        <v>2</v>
      </c>
      <c r="M44" s="138">
        <f t="shared" si="0"/>
        <v>0.12786835969316335</v>
      </c>
      <c r="N44" s="139" t="e">
        <f>VLOOKUP(A44,[1]Spreads!$A$1:$G$87,2,FALSE)</f>
        <v>#N/A</v>
      </c>
      <c r="O44" s="137" t="e">
        <f>VLOOKUP(A44,[1]Spreads!$A$1:$G$87,5,FALSE)/1000</f>
        <v>#N/A</v>
      </c>
      <c r="P44" s="140" t="e">
        <f>VLOOKUP(A44,[1]Spreads!$A$1:$G$87,6,FALSE)/1000</f>
        <v>#N/A</v>
      </c>
      <c r="R44" s="141">
        <f>_xlfn.IFNA(VLOOKUP($A44,[1]IRESS!$A$11:$AE$696,6,FALSE)/100,"n/a")</f>
        <v>1.089</v>
      </c>
      <c r="S44" s="117"/>
      <c r="T44" s="142" t="str">
        <f>IF(VLOOKUP($A44,[1]FE!$A$2:$G$498,3,FALSE)="N/A","n/a",IFERROR(VLOOKUP($A44,[1]FE!$A$2:$G$498,3,FALSE),"n/a"))</f>
        <v>1.90%</v>
      </c>
      <c r="U44" s="138" t="str">
        <f>IF(VLOOKUP($A44,[1]FE!$A$2:$G$498,4,FALSE)="N/A","n/a",IFERROR(VLOOKUP($A44,[1]FE!$A$2:$G$498,4,FALSE),"n/a"))</f>
        <v>6.32%</v>
      </c>
      <c r="V44" s="142" t="str">
        <f>IF(VLOOKUP($A44,[1]FE!$A$2:$G$498,5,FALSE)="N/A","n/a",IFERROR(VLOOKUP($A44,[1]FE!$A$2:$G$498,5,FALSE),"n/a"))</f>
        <v>15.28%</v>
      </c>
      <c r="W44" s="138" t="str">
        <f>IF(VLOOKUP($A44,[1]FE!$A$2:$G$498,6,FALSE)="N/A","n/a",IFERROR(VLOOKUP($A44,[1]FE!$A$2:$G$498,6,FALSE),"n/a"))</f>
        <v>10.84%</v>
      </c>
      <c r="X44" s="142" t="str">
        <f>IF(VLOOKUP($A44,[1]FE!$A$2:$G$498,7,FALSE)="N/A","n/a",IFERROR(VLOOKUP($A44,[1]FE!$A$2:$G$498,7,FALSE),"n/a"))</f>
        <v>11.16%</v>
      </c>
    </row>
    <row r="45" spans="1:24" ht="18.75">
      <c r="A45" s="129" t="s">
        <v>331</v>
      </c>
      <c r="B45" s="130" t="s">
        <v>298</v>
      </c>
      <c r="C45" s="131" t="str">
        <f>VLOOKUP(A45,'[1]mFund List'!$A$2:$B$368,2,FALSE)</f>
        <v>SGH 20</v>
      </c>
      <c r="D45" s="132"/>
      <c r="E45" s="116"/>
      <c r="F45" s="133" t="str">
        <f>_xlfn.IFNA(VLOOKUP(A45,'[1]mFund List'!$A$2:$I$200,6,FALSE),"n/a")</f>
        <v>1.23%</v>
      </c>
      <c r="G45" s="134">
        <f>_xlfn.IFNA(VLOOKUP(A45,'[1]mFund List'!$A$2:$J$200,8,FALSE)/1000000,"n/a")</f>
        <v>0.82212041175792006</v>
      </c>
      <c r="H45" s="135">
        <f>_xlfn.IFNA(VLOOKUP(A45,'[1]mFund List'!$A$2:$N$200,14,FALSE)/1000000,"n/a")</f>
        <v>4.2539429062080102E-2</v>
      </c>
      <c r="I45" s="134">
        <f>_xlfn.IFNA(VLOOKUP(A45,'[1]mFund List'!$A$2:$R$200,18,FALSE)/1000000,"n/a")</f>
        <v>2.5100193052560053E-2</v>
      </c>
      <c r="J45" s="136">
        <f>_xlfn.IFNA(VLOOKUP(A45,[1]IRESS!$A$10:$F$875,5,FALSE),"n/a")</f>
        <v>25000</v>
      </c>
      <c r="K45" s="137">
        <f>_xlfn.IFNA(VLOOKUP(A45,[1]IRESS!$A$11:$G$684,7,FALSE),"n/a")</f>
        <v>12369.5018</v>
      </c>
      <c r="L45" s="136">
        <f>_xlfn.IFNA(VLOOKUP(A45,[1]IRESS!$A$10:$F$875,4,FALSE),"n/a")</f>
        <v>1</v>
      </c>
      <c r="M45" s="138">
        <f t="shared" si="0"/>
        <v>3.0409170776508405E-2</v>
      </c>
      <c r="N45" s="139" t="e">
        <f>VLOOKUP(A45,[1]Spreads!$A$1:$G$87,2,FALSE)</f>
        <v>#N/A</v>
      </c>
      <c r="O45" s="137" t="e">
        <f>VLOOKUP(A45,[1]Spreads!$A$1:$G$87,5,FALSE)/1000</f>
        <v>#N/A</v>
      </c>
      <c r="P45" s="140" t="e">
        <f>VLOOKUP(A45,[1]Spreads!$A$1:$G$87,6,FALSE)/1000</f>
        <v>#N/A</v>
      </c>
      <c r="R45" s="141">
        <f>_xlfn.IFNA(VLOOKUP($A45,[1]IRESS!$A$11:$AE$696,6,FALSE)/100,"n/a")</f>
        <v>2.0291999999999999</v>
      </c>
      <c r="S45" s="117"/>
      <c r="T45" s="142" t="str">
        <f>IF(VLOOKUP($A45,[1]FE!$A$2:$G$498,3,FALSE)="N/A","n/a",IFERROR(VLOOKUP($A45,[1]FE!$A$2:$G$498,3,FALSE),"n/a"))</f>
        <v>2.24%</v>
      </c>
      <c r="U45" s="138" t="str">
        <f>IF(VLOOKUP($A45,[1]FE!$A$2:$G$498,4,FALSE)="N/A","n/a",IFERROR(VLOOKUP($A45,[1]FE!$A$2:$G$498,4,FALSE),"n/a"))</f>
        <v>9.67%</v>
      </c>
      <c r="V45" s="142" t="str">
        <f>IF(VLOOKUP($A45,[1]FE!$A$2:$G$498,5,FALSE)="N/A","n/a",IFERROR(VLOOKUP($A45,[1]FE!$A$2:$G$498,5,FALSE),"n/a"))</f>
        <v>23.24%</v>
      </c>
      <c r="W45" s="138" t="str">
        <f>IF(VLOOKUP($A45,[1]FE!$A$2:$G$498,6,FALSE)="N/A","n/a",IFERROR(VLOOKUP($A45,[1]FE!$A$2:$G$498,6,FALSE),"n/a"))</f>
        <v>15.92%</v>
      </c>
      <c r="X45" s="142" t="str">
        <f>IF(VLOOKUP($A45,[1]FE!$A$2:$G$498,7,FALSE)="N/A","n/a",IFERROR(VLOOKUP($A45,[1]FE!$A$2:$G$498,7,FALSE),"n/a"))</f>
        <v>12.68%</v>
      </c>
    </row>
    <row r="46" spans="1:24" ht="18.75">
      <c r="A46" s="129" t="s">
        <v>332</v>
      </c>
      <c r="B46" s="130" t="s">
        <v>298</v>
      </c>
      <c r="C46" s="131" t="str">
        <f>VLOOKUP(A46,'[1]mFund List'!$A$2:$B$368,2,FALSE)</f>
        <v>SGH ICE</v>
      </c>
      <c r="D46" s="132"/>
      <c r="E46" s="116"/>
      <c r="F46" s="133" t="str">
        <f>_xlfn.IFNA(VLOOKUP(A46,'[1]mFund List'!$A$2:$I$200,6,FALSE),"n/a")</f>
        <v>1.18%</v>
      </c>
      <c r="G46" s="134">
        <f>_xlfn.IFNA(VLOOKUP(A46,'[1]mFund List'!$A$2:$J$200,8,FALSE)/1000000,"n/a")</f>
        <v>15.982957547265441</v>
      </c>
      <c r="H46" s="135">
        <f>_xlfn.IFNA(VLOOKUP(A46,'[1]mFund List'!$A$2:$N$200,14,FALSE)/1000000,"n/a")</f>
        <v>0.28296773183408941</v>
      </c>
      <c r="I46" s="134">
        <f>_xlfn.IFNA(VLOOKUP(A46,'[1]mFund List'!$A$2:$R$200,18,FALSE)/1000000,"n/a")</f>
        <v>9.0903642500740442E-2</v>
      </c>
      <c r="J46" s="136">
        <f>_xlfn.IFNA(VLOOKUP(A46,[1]IRESS!$A$10:$F$875,5,FALSE),"n/a")</f>
        <v>701298.94</v>
      </c>
      <c r="K46" s="137">
        <f>_xlfn.IFNA(VLOOKUP(A46,[1]IRESS!$A$11:$G$684,7,FALSE),"n/a")</f>
        <v>315440.65950000001</v>
      </c>
      <c r="L46" s="136">
        <f>_xlfn.IFNA(VLOOKUP(A46,[1]IRESS!$A$10:$F$875,4,FALSE),"n/a")</f>
        <v>22</v>
      </c>
      <c r="M46" s="138">
        <f t="shared" si="0"/>
        <v>4.3877920461597344E-2</v>
      </c>
      <c r="N46" s="139" t="e">
        <f>VLOOKUP(A46,[1]Spreads!$A$1:$G$87,2,FALSE)</f>
        <v>#N/A</v>
      </c>
      <c r="O46" s="137" t="e">
        <f>VLOOKUP(A46,[1]Spreads!$A$1:$G$87,5,FALSE)/1000</f>
        <v>#N/A</v>
      </c>
      <c r="P46" s="140" t="e">
        <f>VLOOKUP(A46,[1]Spreads!$A$1:$G$87,6,FALSE)/1000</f>
        <v>#N/A</v>
      </c>
      <c r="R46" s="141">
        <f>_xlfn.IFNA(VLOOKUP($A46,[1]IRESS!$A$11:$AE$696,6,FALSE)/100,"n/a")</f>
        <v>2.2258</v>
      </c>
      <c r="S46" s="117"/>
      <c r="T46" s="142" t="str">
        <f>IF(VLOOKUP($A46,[1]FE!$A$2:$G$498,3,FALSE)="N/A","n/a",IFERROR(VLOOKUP($A46,[1]FE!$A$2:$G$498,3,FALSE),"n/a"))</f>
        <v>1.22%</v>
      </c>
      <c r="U46" s="138" t="str">
        <f>IF(VLOOKUP($A46,[1]FE!$A$2:$G$498,4,FALSE)="N/A","n/a",IFERROR(VLOOKUP($A46,[1]FE!$A$2:$G$498,4,FALSE),"n/a"))</f>
        <v>5.70%</v>
      </c>
      <c r="V46" s="142" t="str">
        <f>IF(VLOOKUP($A46,[1]FE!$A$2:$G$498,5,FALSE)="N/A","n/a",IFERROR(VLOOKUP($A46,[1]FE!$A$2:$G$498,5,FALSE),"n/a"))</f>
        <v>14.93%</v>
      </c>
      <c r="W46" s="138" t="str">
        <f>IF(VLOOKUP($A46,[1]FE!$A$2:$G$498,6,FALSE)="N/A","n/a",IFERROR(VLOOKUP($A46,[1]FE!$A$2:$G$498,6,FALSE),"n/a"))</f>
        <v>9.88%</v>
      </c>
      <c r="X46" s="142" t="str">
        <f>IF(VLOOKUP($A46,[1]FE!$A$2:$G$498,7,FALSE)="N/A","n/a",IFERROR(VLOOKUP($A46,[1]FE!$A$2:$G$498,7,FALSE),"n/a"))</f>
        <v>13.45%</v>
      </c>
    </row>
    <row r="47" spans="1:24" ht="18.75">
      <c r="A47" s="129" t="s">
        <v>333</v>
      </c>
      <c r="B47" s="130" t="s">
        <v>298</v>
      </c>
      <c r="C47" s="131" t="str">
        <f>VLOOKUP(A47,'[1]mFund List'!$A$2:$B$368,2,FALSE)</f>
        <v>SGH Australia Plus Fund</v>
      </c>
      <c r="D47" s="132"/>
      <c r="E47" s="116"/>
      <c r="F47" s="133" t="str">
        <f>_xlfn.IFNA(VLOOKUP(A47,'[1]mFund List'!$A$2:$I$200,6,FALSE),"n/a")</f>
        <v>0.70%</v>
      </c>
      <c r="G47" s="134">
        <f>_xlfn.IFNA(VLOOKUP(A47,'[1]mFund List'!$A$2:$J$200,8,FALSE)/1000000,"n/a")</f>
        <v>0.89224921700955007</v>
      </c>
      <c r="H47" s="135">
        <f>_xlfn.IFNA(VLOOKUP(A47,'[1]mFund List'!$A$2:$N$200,14,FALSE)/1000000,"n/a")</f>
        <v>8.2353500546670164E-2</v>
      </c>
      <c r="I47" s="134">
        <f>_xlfn.IFNA(VLOOKUP(A47,'[1]mFund List'!$A$2:$R$200,18,FALSE)/1000000,"n/a")</f>
        <v>6.8467014257760181E-2</v>
      </c>
      <c r="J47" s="136">
        <f>_xlfn.IFNA(VLOOKUP(A47,[1]IRESS!$A$10:$F$875,5,FALSE),"n/a")</f>
        <v>69300</v>
      </c>
      <c r="K47" s="137">
        <f>_xlfn.IFNA(VLOOKUP(A47,[1]IRESS!$A$11:$G$684,7,FALSE),"n/a")</f>
        <v>41367.297600000005</v>
      </c>
      <c r="L47" s="136">
        <f>_xlfn.IFNA(VLOOKUP(A47,[1]IRESS!$A$10:$F$875,4,FALSE),"n/a")</f>
        <v>4</v>
      </c>
      <c r="M47" s="138">
        <f t="shared" si="0"/>
        <v>7.7668882952080256E-2</v>
      </c>
      <c r="N47" s="139" t="e">
        <f>VLOOKUP(A47,[1]Spreads!$A$1:$G$87,2,FALSE)</f>
        <v>#N/A</v>
      </c>
      <c r="O47" s="137" t="e">
        <f>VLOOKUP(A47,[1]Spreads!$A$1:$G$87,5,FALSE)/1000</f>
        <v>#N/A</v>
      </c>
      <c r="P47" s="140" t="e">
        <f>VLOOKUP(A47,[1]Spreads!$A$1:$G$87,6,FALSE)/1000</f>
        <v>#N/A</v>
      </c>
      <c r="R47" s="141">
        <f>_xlfn.IFNA(VLOOKUP($A47,[1]IRESS!$A$11:$AE$696,6,FALSE)/100,"n/a")</f>
        <v>1.6551</v>
      </c>
      <c r="S47" s="117"/>
      <c r="T47" s="142" t="str">
        <f>IF(VLOOKUP($A47,[1]FE!$A$2:$G$498,3,FALSE)="N/A","n/a",IFERROR(VLOOKUP($A47,[1]FE!$A$2:$G$498,3,FALSE),"n/a"))</f>
        <v>1.71%</v>
      </c>
      <c r="U47" s="138" t="str">
        <f>IF(VLOOKUP($A47,[1]FE!$A$2:$G$498,4,FALSE)="N/A","n/a",IFERROR(VLOOKUP($A47,[1]FE!$A$2:$G$498,4,FALSE),"n/a"))</f>
        <v>7.69%</v>
      </c>
      <c r="V47" s="142" t="str">
        <f>IF(VLOOKUP($A47,[1]FE!$A$2:$G$498,5,FALSE)="N/A","n/a",IFERROR(VLOOKUP($A47,[1]FE!$A$2:$G$498,5,FALSE),"n/a"))</f>
        <v>21.29%</v>
      </c>
      <c r="W47" s="138" t="str">
        <f>IF(VLOOKUP($A47,[1]FE!$A$2:$G$498,6,FALSE)="N/A","n/a",IFERROR(VLOOKUP($A47,[1]FE!$A$2:$G$498,6,FALSE),"n/a"))</f>
        <v>18.55%</v>
      </c>
      <c r="X47" s="142" t="str">
        <f>IF(VLOOKUP($A47,[1]FE!$A$2:$G$498,7,FALSE)="N/A","n/a",IFERROR(VLOOKUP($A47,[1]FE!$A$2:$G$498,7,FALSE),"n/a"))</f>
        <v>n/a</v>
      </c>
    </row>
    <row r="48" spans="1:24" ht="18.75">
      <c r="A48" s="129" t="s">
        <v>334</v>
      </c>
      <c r="B48" s="130" t="s">
        <v>298</v>
      </c>
      <c r="C48" s="131" t="str">
        <f>VLOOKUP(A48,'[1]mFund List'!$A$2:$B$368,2,FALSE)</f>
        <v>UBS HALO Australian Share Fund</v>
      </c>
      <c r="D48" s="132"/>
      <c r="E48" s="116"/>
      <c r="F48" s="133" t="str">
        <f>_xlfn.IFNA(VLOOKUP(A48,'[1]mFund List'!$A$2:$I$200,6,FALSE),"n/a")</f>
        <v>0.90%</v>
      </c>
      <c r="G48" s="134">
        <f>_xlfn.IFNA(VLOOKUP(A48,'[1]mFund List'!$A$2:$J$200,8,FALSE)/1000000,"n/a")</f>
        <v>0.16315695254649998</v>
      </c>
      <c r="H48" s="135">
        <f>_xlfn.IFNA(VLOOKUP(A48,'[1]mFund List'!$A$2:$N$200,14,FALSE)/1000000,"n/a")</f>
        <v>6.806566651500005E-3</v>
      </c>
      <c r="I48" s="134">
        <f>_xlfn.IFNA(VLOOKUP(A48,'[1]mFund List'!$A$2:$R$200,18,FALSE)/1000000,"n/a")</f>
        <v>0</v>
      </c>
      <c r="J48" s="136" t="str">
        <f>_xlfn.IFNA(VLOOKUP(A48,[1]IRESS!$A$10:$F$875,5,FALSE),"n/a")</f>
        <v>0</v>
      </c>
      <c r="K48" s="137" t="str">
        <f>_xlfn.IFNA(VLOOKUP(A48,[1]IRESS!$A$11:$G$684,7,FALSE),"n/a")</f>
        <v>0</v>
      </c>
      <c r="L48" s="136" t="str">
        <f>_xlfn.IFNA(VLOOKUP(A48,[1]IRESS!$A$10:$F$875,4,FALSE),"n/a")</f>
        <v>0</v>
      </c>
      <c r="M48" s="138">
        <f t="shared" si="0"/>
        <v>0</v>
      </c>
      <c r="N48" s="139" t="e">
        <f>VLOOKUP(A48,[1]Spreads!$A$1:$G$87,2,FALSE)</f>
        <v>#N/A</v>
      </c>
      <c r="O48" s="137" t="e">
        <f>VLOOKUP(A48,[1]Spreads!$A$1:$G$87,5,FALSE)/1000</f>
        <v>#N/A</v>
      </c>
      <c r="P48" s="140" t="e">
        <f>VLOOKUP(A48,[1]Spreads!$A$1:$G$87,6,FALSE)/1000</f>
        <v>#N/A</v>
      </c>
      <c r="R48" s="141">
        <f>_xlfn.IFNA(VLOOKUP($A48,[1]IRESS!$A$11:$AE$696,6,FALSE)/100,"n/a")</f>
        <v>1.0570999999999999</v>
      </c>
      <c r="S48" s="117"/>
      <c r="T48" s="142" t="str">
        <f>IF(VLOOKUP($A48,[1]FE!$A$2:$G$498,3,FALSE)="N/A","n/a",IFERROR(VLOOKUP($A48,[1]FE!$A$2:$G$498,3,FALSE),"n/a"))</f>
        <v>3.90%</v>
      </c>
      <c r="U48" s="138" t="str">
        <f>IF(VLOOKUP($A48,[1]FE!$A$2:$G$498,4,FALSE)="N/A","n/a",IFERROR(VLOOKUP($A48,[1]FE!$A$2:$G$498,4,FALSE),"n/a"))</f>
        <v>4.74%</v>
      </c>
      <c r="V48" s="142" t="str">
        <f>IF(VLOOKUP($A48,[1]FE!$A$2:$G$498,5,FALSE)="N/A","n/a",IFERROR(VLOOKUP($A48,[1]FE!$A$2:$G$498,5,FALSE),"n/a"))</f>
        <v>8.94%</v>
      </c>
      <c r="W48" s="138" t="str">
        <f>IF(VLOOKUP($A48,[1]FE!$A$2:$G$498,6,FALSE)="N/A","n/a",IFERROR(VLOOKUP($A48,[1]FE!$A$2:$G$498,6,FALSE),"n/a"))</f>
        <v>4.09%</v>
      </c>
      <c r="X48" s="142" t="str">
        <f>IF(VLOOKUP($A48,[1]FE!$A$2:$G$498,7,FALSE)="N/A","n/a",IFERROR(VLOOKUP($A48,[1]FE!$A$2:$G$498,7,FALSE),"n/a"))</f>
        <v>6.41%</v>
      </c>
    </row>
    <row r="49" spans="1:24" s="128" customFormat="1" ht="18.75">
      <c r="A49" s="123" t="s">
        <v>39</v>
      </c>
      <c r="B49" s="124"/>
      <c r="C49" s="124"/>
      <c r="D49" s="124"/>
      <c r="E49" s="116"/>
      <c r="F49" s="143"/>
      <c r="G49" s="144"/>
      <c r="H49" s="144"/>
      <c r="I49" s="144"/>
      <c r="J49" s="145"/>
      <c r="K49" s="145"/>
      <c r="L49" s="145"/>
      <c r="M49" s="146"/>
      <c r="N49" s="146"/>
      <c r="O49" s="145"/>
      <c r="P49" s="145"/>
      <c r="Q49" s="7"/>
      <c r="R49" s="147"/>
      <c r="S49" s="117"/>
      <c r="T49" s="125"/>
      <c r="U49" s="125"/>
      <c r="V49" s="125"/>
      <c r="W49" s="125"/>
      <c r="X49" s="125"/>
    </row>
    <row r="50" spans="1:24" ht="18.75">
      <c r="A50" s="129" t="s">
        <v>335</v>
      </c>
      <c r="B50" s="130" t="s">
        <v>298</v>
      </c>
      <c r="C50" s="131" t="str">
        <f>VLOOKUP(A50,'[1]mFund List'!$A$2:$B$311,2,FALSE)</f>
        <v>Australian Ethical Emerging Companies Wholesale</v>
      </c>
      <c r="D50" s="132"/>
      <c r="E50" s="116"/>
      <c r="F50" s="133" t="str">
        <f>_xlfn.IFNA(VLOOKUP(A50,'[1]mFund List'!$A$2:$I$200,6,FALSE),"n/a")</f>
        <v>1.20%</v>
      </c>
      <c r="G50" s="134">
        <f>_xlfn.IFNA(VLOOKUP(A50,'[1]mFund List'!$A$2:$J$200,8,FALSE)/1000000,"n/a")</f>
        <v>1.3956848369008537</v>
      </c>
      <c r="H50" s="135">
        <f>_xlfn.IFNA(VLOOKUP(A50,'[1]mFund List'!$A$2:$N$200,14,FALSE)/1000000,"n/a")</f>
        <v>0.10414541035204823</v>
      </c>
      <c r="I50" s="134">
        <f>_xlfn.IFNA(VLOOKUP(A50,'[1]mFund List'!$A$2:$R$200,18,FALSE)/1000000,"n/a")</f>
        <v>8.0498165621521095E-2</v>
      </c>
      <c r="J50" s="136">
        <f>_xlfn.IFNA(VLOOKUP(A50,[1]IRESS!$A$10:$F$875,5,FALSE),"n/a")</f>
        <v>80000</v>
      </c>
      <c r="K50" s="137">
        <f>_xlfn.IFNA(VLOOKUP(A50,[1]IRESS!$A$11:$G$684,7,FALSE),"n/a")</f>
        <v>58917.550600000002</v>
      </c>
      <c r="L50" s="136">
        <f>_xlfn.IFNA(VLOOKUP(A50,[1]IRESS!$A$10:$F$875,4,FALSE),"n/a")</f>
        <v>3</v>
      </c>
      <c r="M50" s="138">
        <f t="shared" si="0"/>
        <v>5.731953080298674E-2</v>
      </c>
      <c r="N50" s="139" t="e">
        <f>VLOOKUP(A50,[1]Spreads!$A$1:$G$87,2,FALSE)</f>
        <v>#N/A</v>
      </c>
      <c r="O50" s="137" t="e">
        <f>VLOOKUP(A50,[1]Spreads!$A$1:$G$87,5,FALSE)/1000</f>
        <v>#N/A</v>
      </c>
      <c r="P50" s="140" t="e">
        <f>VLOOKUP(A50,[1]Spreads!$A$1:$G$87,6,FALSE)/1000</f>
        <v>#N/A</v>
      </c>
      <c r="R50" s="141">
        <f>_xlfn.IFNA(VLOOKUP($A50,[1]IRESS!$A$11:$AE$696,6,FALSE)/100,"n/a")</f>
        <v>1.366285</v>
      </c>
      <c r="S50" s="117"/>
      <c r="T50" s="142" t="str">
        <f>IF(VLOOKUP($A50,[1]FE!$A$2:$G$498,3,FALSE)="N/A","n/a",IFERROR(VLOOKUP($A50,[1]FE!$A$2:$G$498,3,FALSE),"n/a"))</f>
        <v>1.83%</v>
      </c>
      <c r="U50" s="138" t="str">
        <f>IF(VLOOKUP($A50,[1]FE!$A$2:$G$498,4,FALSE)="N/A","n/a",IFERROR(VLOOKUP($A50,[1]FE!$A$2:$G$498,4,FALSE),"n/a"))</f>
        <v>2.50%</v>
      </c>
      <c r="V50" s="142" t="str">
        <f>IF(VLOOKUP($A50,[1]FE!$A$2:$G$498,5,FALSE)="N/A","n/a",IFERROR(VLOOKUP($A50,[1]FE!$A$2:$G$498,5,FALSE),"n/a"))</f>
        <v>14.18%</v>
      </c>
      <c r="W50" s="138" t="str">
        <f>IF(VLOOKUP($A50,[1]FE!$A$2:$G$498,6,FALSE)="N/A","n/a",IFERROR(VLOOKUP($A50,[1]FE!$A$2:$G$498,6,FALSE),"n/a"))</f>
        <v>n/a</v>
      </c>
      <c r="X50" s="142" t="str">
        <f>IF(VLOOKUP($A50,[1]FE!$A$2:$G$498,7,FALSE)="N/A","n/a",IFERROR(VLOOKUP($A50,[1]FE!$A$2:$G$498,7,FALSE),"n/a"))</f>
        <v>n/a</v>
      </c>
    </row>
    <row r="51" spans="1:24" ht="18.75">
      <c r="A51" s="129" t="s">
        <v>336</v>
      </c>
      <c r="B51" s="130" t="s">
        <v>298</v>
      </c>
      <c r="C51" s="148" t="str">
        <f>VLOOKUP(A51,'[1]mFund List'!$A$2:$B$311,2,FALSE)</f>
        <v>Aberdeen Australian Small Companies Fund</v>
      </c>
      <c r="D51" s="149"/>
      <c r="E51" s="116"/>
      <c r="F51" s="133" t="str">
        <f>_xlfn.IFNA(VLOOKUP(A51,'[1]mFund List'!$A$2:$I$200,6,FALSE),"n/a")</f>
        <v>1.26%</v>
      </c>
      <c r="G51" s="134">
        <f>_xlfn.IFNA(VLOOKUP(A51,'[1]mFund List'!$A$2:$J$200,8,FALSE)/1000000,"n/a")</f>
        <v>6.4259826792119998</v>
      </c>
      <c r="H51" s="135">
        <f>_xlfn.IFNA(VLOOKUP(A51,'[1]mFund List'!$A$2:$N$200,14,FALSE)/1000000,"n/a")</f>
        <v>0.13940842124100031</v>
      </c>
      <c r="I51" s="134">
        <f>_xlfn.IFNA(VLOOKUP(A51,'[1]mFund List'!$A$2:$R$200,18,FALSE)/1000000,"n/a")</f>
        <v>2.1835601688000125E-2</v>
      </c>
      <c r="J51" s="136">
        <f>_xlfn.IFNA(VLOOKUP(A51,[1]IRESS!$A$10:$F$875,5,FALSE),"n/a")</f>
        <v>235830.53</v>
      </c>
      <c r="K51" s="137">
        <f>_xlfn.IFNA(VLOOKUP(A51,[1]IRESS!$A$11:$G$684,7,FALSE),"n/a")</f>
        <v>70676.679999999993</v>
      </c>
      <c r="L51" s="136">
        <f>_xlfn.IFNA(VLOOKUP(A51,[1]IRESS!$A$10:$F$875,4,FALSE),"n/a")</f>
        <v>9</v>
      </c>
      <c r="M51" s="138">
        <f t="shared" si="0"/>
        <v>3.6699527803414372E-2</v>
      </c>
      <c r="N51" s="139" t="e">
        <f>VLOOKUP(A51,[1]Spreads!$A$1:$G$87,2,FALSE)</f>
        <v>#N/A</v>
      </c>
      <c r="O51" s="137" t="e">
        <f>VLOOKUP(A51,[1]Spreads!$A$1:$G$87,5,FALSE)/1000</f>
        <v>#N/A</v>
      </c>
      <c r="P51" s="140" t="e">
        <f>VLOOKUP(A51,[1]Spreads!$A$1:$G$87,6,FALSE)/1000</f>
        <v>#N/A</v>
      </c>
      <c r="R51" s="141">
        <f>_xlfn.IFNA(VLOOKUP($A51,[1]IRESS!$A$11:$AE$696,6,FALSE)/100,"n/a")</f>
        <v>3.3172000000000001</v>
      </c>
      <c r="S51" s="117"/>
      <c r="T51" s="142" t="str">
        <f>IF(VLOOKUP($A51,[1]FE!$A$2:$G$498,3,FALSE)="N/A","n/a",IFERROR(VLOOKUP($A51,[1]FE!$A$2:$G$498,3,FALSE),"n/a"))</f>
        <v>1.87%</v>
      </c>
      <c r="U51" s="138" t="str">
        <f>IF(VLOOKUP($A51,[1]FE!$A$2:$G$498,4,FALSE)="N/A","n/a",IFERROR(VLOOKUP($A51,[1]FE!$A$2:$G$498,4,FALSE),"n/a"))</f>
        <v>5.79%</v>
      </c>
      <c r="V51" s="142" t="str">
        <f>IF(VLOOKUP($A51,[1]FE!$A$2:$G$498,5,FALSE)="N/A","n/a",IFERROR(VLOOKUP($A51,[1]FE!$A$2:$G$498,5,FALSE),"n/a"))</f>
        <v>8.50%</v>
      </c>
      <c r="W51" s="138" t="str">
        <f>IF(VLOOKUP($A51,[1]FE!$A$2:$G$498,6,FALSE)="N/A","n/a",IFERROR(VLOOKUP($A51,[1]FE!$A$2:$G$498,6,FALSE),"n/a"))</f>
        <v>13.06%</v>
      </c>
      <c r="X51" s="142" t="str">
        <f>IF(VLOOKUP($A51,[1]FE!$A$2:$G$498,7,FALSE)="N/A","n/a",IFERROR(VLOOKUP($A51,[1]FE!$A$2:$G$498,7,FALSE),"n/a"))</f>
        <v>13.41%</v>
      </c>
    </row>
    <row r="52" spans="1:24" ht="18.75">
      <c r="A52" s="129" t="s">
        <v>337</v>
      </c>
      <c r="B52" s="130" t="s">
        <v>298</v>
      </c>
      <c r="C52" s="148" t="str">
        <f>VLOOKUP(A52,'[1]mFund List'!$A$2:$B$311,2,FALSE)</f>
        <v>Bennelong Avoca Emerging Leaders</v>
      </c>
      <c r="D52" s="149"/>
      <c r="E52" s="116"/>
      <c r="F52" s="133" t="str">
        <f>_xlfn.IFNA(VLOOKUP(A52,'[1]mFund List'!$A$2:$I$200,6,FALSE),"n/a")</f>
        <v>1.25%</v>
      </c>
      <c r="G52" s="134">
        <f>_xlfn.IFNA(VLOOKUP(A52,'[1]mFund List'!$A$2:$J$200,8,FALSE)/1000000,"n/a")</f>
        <v>7.9508778346140008E-2</v>
      </c>
      <c r="H52" s="135">
        <f>_xlfn.IFNA(VLOOKUP(A52,'[1]mFund List'!$A$2:$N$200,14,FALSE)/1000000,"n/a")</f>
        <v>-4.2056821968998703E-4</v>
      </c>
      <c r="I52" s="134">
        <f>_xlfn.IFNA(VLOOKUP(A52,'[1]mFund List'!$A$2:$R$200,18,FALSE)/1000000,"n/a")</f>
        <v>0</v>
      </c>
      <c r="J52" s="136" t="str">
        <f>_xlfn.IFNA(VLOOKUP(A52,[1]IRESS!$A$10:$F$875,5,FALSE),"n/a")</f>
        <v>0</v>
      </c>
      <c r="K52" s="137" t="str">
        <f>_xlfn.IFNA(VLOOKUP(A52,[1]IRESS!$A$11:$G$684,7,FALSE),"n/a")</f>
        <v>0</v>
      </c>
      <c r="L52" s="136" t="str">
        <f>_xlfn.IFNA(VLOOKUP(A52,[1]IRESS!$A$10:$F$875,4,FALSE),"n/a")</f>
        <v>0</v>
      </c>
      <c r="M52" s="138">
        <f t="shared" si="0"/>
        <v>0</v>
      </c>
      <c r="N52" s="139" t="e">
        <f>VLOOKUP(A52,[1]Spreads!$A$1:$G$87,2,FALSE)</f>
        <v>#N/A</v>
      </c>
      <c r="O52" s="137" t="e">
        <f>VLOOKUP(A52,[1]Spreads!$A$1:$G$87,5,FALSE)/1000</f>
        <v>#N/A</v>
      </c>
      <c r="P52" s="140" t="e">
        <f>VLOOKUP(A52,[1]Spreads!$A$1:$G$87,6,FALSE)/1000</f>
        <v>#N/A</v>
      </c>
      <c r="R52" s="141">
        <f>_xlfn.IFNA(VLOOKUP($A52,[1]IRESS!$A$11:$AE$696,6,FALSE)/100,"n/a")</f>
        <v>1.1154000000000002</v>
      </c>
      <c r="S52" s="117"/>
      <c r="T52" s="142" t="str">
        <f>IF(VLOOKUP($A52,[1]FE!$A$2:$G$498,3,FALSE)="N/A","n/a",IFERROR(VLOOKUP($A52,[1]FE!$A$2:$G$498,3,FALSE),"n/a"))</f>
        <v>-0.53%</v>
      </c>
      <c r="U52" s="138" t="str">
        <f>IF(VLOOKUP($A52,[1]FE!$A$2:$G$498,4,FALSE)="N/A","n/a",IFERROR(VLOOKUP($A52,[1]FE!$A$2:$G$498,4,FALSE),"n/a"))</f>
        <v>5.07%</v>
      </c>
      <c r="V52" s="142" t="str">
        <f>IF(VLOOKUP($A52,[1]FE!$A$2:$G$498,5,FALSE)="N/A","n/a",IFERROR(VLOOKUP($A52,[1]FE!$A$2:$G$498,5,FALSE),"n/a"))</f>
        <v>14.21%</v>
      </c>
      <c r="W52" s="138" t="str">
        <f>IF(VLOOKUP($A52,[1]FE!$A$2:$G$498,6,FALSE)="N/A","n/a",IFERROR(VLOOKUP($A52,[1]FE!$A$2:$G$498,6,FALSE),"n/a"))</f>
        <v>11.06%</v>
      </c>
      <c r="X52" s="142" t="str">
        <f>IF(VLOOKUP($A52,[1]FE!$A$2:$G$498,7,FALSE)="N/A","n/a",IFERROR(VLOOKUP($A52,[1]FE!$A$2:$G$498,7,FALSE),"n/a"))</f>
        <v>7.97%</v>
      </c>
    </row>
    <row r="53" spans="1:24" ht="18.75">
      <c r="A53" s="129" t="s">
        <v>338</v>
      </c>
      <c r="B53" s="130" t="s">
        <v>298</v>
      </c>
      <c r="C53" s="148" t="str">
        <f>VLOOKUP(A53,'[1]mFund List'!$A$2:$B$311,2,FALSE)</f>
        <v>Ausbil Australian Emerging Leaders Fund</v>
      </c>
      <c r="D53" s="149"/>
      <c r="E53" s="116"/>
      <c r="F53" s="133" t="str">
        <f>_xlfn.IFNA(VLOOKUP(A53,'[1]mFund List'!$A$2:$I$200,6,FALSE),"n/a")</f>
        <v>0.85%</v>
      </c>
      <c r="G53" s="134">
        <f>_xlfn.IFNA(VLOOKUP(A53,'[1]mFund List'!$A$2:$J$200,8,FALSE)/1000000,"n/a")</f>
        <v>1.4069389971877067</v>
      </c>
      <c r="H53" s="135">
        <f>_xlfn.IFNA(VLOOKUP(A53,'[1]mFund List'!$A$2:$N$200,14,FALSE)/1000000,"n/a")</f>
        <v>0.10198725471929507</v>
      </c>
      <c r="I53" s="134">
        <f>_xlfn.IFNA(VLOOKUP(A53,'[1]mFund List'!$A$2:$R$200,18,FALSE)/1000000,"n/a")</f>
        <v>9.7481923444817098E-2</v>
      </c>
      <c r="J53" s="136">
        <f>_xlfn.IFNA(VLOOKUP(A53,[1]IRESS!$A$10:$F$875,5,FALSE),"n/a")</f>
        <v>98265</v>
      </c>
      <c r="K53" s="137">
        <f>_xlfn.IFNA(VLOOKUP(A53,[1]IRESS!$A$11:$G$684,7,FALSE),"n/a")</f>
        <v>25740.390900000002</v>
      </c>
      <c r="L53" s="136">
        <f>_xlfn.IFNA(VLOOKUP(A53,[1]IRESS!$A$10:$F$875,4,FALSE),"n/a")</f>
        <v>2</v>
      </c>
      <c r="M53" s="138">
        <f t="shared" si="0"/>
        <v>6.9843113451556416E-2</v>
      </c>
      <c r="N53" s="139" t="e">
        <f>VLOOKUP(A53,[1]Spreads!$A$1:$G$87,2,FALSE)</f>
        <v>#N/A</v>
      </c>
      <c r="O53" s="137" t="e">
        <f>VLOOKUP(A53,[1]Spreads!$A$1:$G$87,5,FALSE)/1000</f>
        <v>#N/A</v>
      </c>
      <c r="P53" s="140" t="e">
        <f>VLOOKUP(A53,[1]Spreads!$A$1:$G$87,6,FALSE)/1000</f>
        <v>#N/A</v>
      </c>
      <c r="R53" s="141">
        <f>_xlfn.IFNA(VLOOKUP($A53,[1]IRESS!$A$11:$AE$696,6,FALSE)/100,"n/a")</f>
        <v>3.7871190000000001</v>
      </c>
      <c r="S53" s="117"/>
      <c r="T53" s="142" t="str">
        <f>IF(VLOOKUP($A53,[1]FE!$A$2:$G$498,3,FALSE)="N/A","n/a",IFERROR(VLOOKUP($A53,[1]FE!$A$2:$G$498,3,FALSE),"n/a"))</f>
        <v>0.34%</v>
      </c>
      <c r="U53" s="138" t="str">
        <f>IF(VLOOKUP($A53,[1]FE!$A$2:$G$498,4,FALSE)="N/A","n/a",IFERROR(VLOOKUP($A53,[1]FE!$A$2:$G$498,4,FALSE),"n/a"))</f>
        <v>4.73%</v>
      </c>
      <c r="V53" s="142" t="str">
        <f>IF(VLOOKUP($A53,[1]FE!$A$2:$G$498,5,FALSE)="N/A","n/a",IFERROR(VLOOKUP($A53,[1]FE!$A$2:$G$498,5,FALSE),"n/a"))</f>
        <v>21.20%</v>
      </c>
      <c r="W53" s="138" t="str">
        <f>IF(VLOOKUP($A53,[1]FE!$A$2:$G$498,6,FALSE)="N/A","n/a",IFERROR(VLOOKUP($A53,[1]FE!$A$2:$G$498,6,FALSE),"n/a"))</f>
        <v>15.34%</v>
      </c>
      <c r="X53" s="142" t="str">
        <f>IF(VLOOKUP($A53,[1]FE!$A$2:$G$498,7,FALSE)="N/A","n/a",IFERROR(VLOOKUP($A53,[1]FE!$A$2:$G$498,7,FALSE),"n/a"))</f>
        <v>14.83%</v>
      </c>
    </row>
    <row r="54" spans="1:24" ht="18.75">
      <c r="A54" s="129" t="s">
        <v>339</v>
      </c>
      <c r="B54" s="130" t="s">
        <v>298</v>
      </c>
      <c r="C54" s="148" t="str">
        <f>VLOOKUP(A54,'[1]mFund List'!$A$2:$B$311,2,FALSE)</f>
        <v>Bennelong Emerging Companies Fund</v>
      </c>
      <c r="D54" s="149"/>
      <c r="E54" s="116"/>
      <c r="F54" s="133" t="str">
        <f>_xlfn.IFNA(VLOOKUP(A54,'[1]mFund List'!$A$2:$I$200,6,FALSE),"n/a")</f>
        <v>1.20%</v>
      </c>
      <c r="G54" s="134">
        <f>_xlfn.IFNA(VLOOKUP(A54,'[1]mFund List'!$A$2:$J$200,8,FALSE)/1000000,"n/a")</f>
        <v>2.1584009894279995E-2</v>
      </c>
      <c r="H54" s="135">
        <f>_xlfn.IFNA(VLOOKUP(A54,'[1]mFund List'!$A$2:$N$200,14,FALSE)/1000000,"n/a")</f>
        <v>2.1584009894279995E-2</v>
      </c>
      <c r="I54" s="134">
        <f>_xlfn.IFNA(VLOOKUP(A54,'[1]mFund List'!$A$2:$R$200,18,FALSE)/1000000,"n/a")</f>
        <v>2.1584009894279995E-2</v>
      </c>
      <c r="J54" s="136">
        <f>_xlfn.IFNA(VLOOKUP(A54,[1]IRESS!$A$10:$F$875,5,FALSE),"n/a")</f>
        <v>22000</v>
      </c>
      <c r="K54" s="137">
        <f>_xlfn.IFNA(VLOOKUP(A54,[1]IRESS!$A$11:$G$684,7,FALSE),"n/a")</f>
        <v>16931.291099999999</v>
      </c>
      <c r="L54" s="136">
        <f>_xlfn.IFNA(VLOOKUP(A54,[1]IRESS!$A$10:$F$875,4,FALSE),"n/a")</f>
        <v>2</v>
      </c>
      <c r="M54" s="138">
        <f t="shared" si="0"/>
        <v>1.0192730687095473</v>
      </c>
      <c r="N54" s="139" t="e">
        <f>VLOOKUP(A54,[1]Spreads!$A$1:$G$87,2,FALSE)</f>
        <v>#N/A</v>
      </c>
      <c r="O54" s="137" t="e">
        <f>VLOOKUP(A54,[1]Spreads!$A$1:$G$87,5,FALSE)/1000</f>
        <v>#N/A</v>
      </c>
      <c r="P54" s="140" t="e">
        <f>VLOOKUP(A54,[1]Spreads!$A$1:$G$87,6,FALSE)/1000</f>
        <v>#N/A</v>
      </c>
      <c r="R54" s="141">
        <f>_xlfn.IFNA(VLOOKUP($A54,[1]IRESS!$A$11:$AE$696,6,FALSE)/100,"n/a")</f>
        <v>1.2747999999999999</v>
      </c>
      <c r="S54" s="117"/>
      <c r="T54" s="142" t="str">
        <f>IF(VLOOKUP($A54,[1]FE!$A$2:$G$498,3,FALSE)="N/A","n/a",IFERROR(VLOOKUP($A54,[1]FE!$A$2:$G$498,3,FALSE),"n/a"))</f>
        <v>-0.73%</v>
      </c>
      <c r="U54" s="138" t="str">
        <f>IF(VLOOKUP($A54,[1]FE!$A$2:$G$498,4,FALSE)="N/A","n/a",IFERROR(VLOOKUP($A54,[1]FE!$A$2:$G$498,4,FALSE),"n/a"))</f>
        <v>10.60%</v>
      </c>
      <c r="V54" s="142" t="str">
        <f>IF(VLOOKUP($A54,[1]FE!$A$2:$G$498,5,FALSE)="N/A","n/a",IFERROR(VLOOKUP($A54,[1]FE!$A$2:$G$498,5,FALSE),"n/a"))</f>
        <v>n/a</v>
      </c>
      <c r="W54" s="138" t="str">
        <f>IF(VLOOKUP($A54,[1]FE!$A$2:$G$498,6,FALSE)="N/A","n/a",IFERROR(VLOOKUP($A54,[1]FE!$A$2:$G$498,6,FALSE),"n/a"))</f>
        <v>n/a</v>
      </c>
      <c r="X54" s="142" t="str">
        <f>IF(VLOOKUP($A54,[1]FE!$A$2:$G$498,7,FALSE)="N/A","n/a",IFERROR(VLOOKUP($A54,[1]FE!$A$2:$G$498,7,FALSE),"n/a"))</f>
        <v>n/a</v>
      </c>
    </row>
    <row r="55" spans="1:24" ht="18.75">
      <c r="A55" s="129" t="s">
        <v>340</v>
      </c>
      <c r="B55" s="130" t="s">
        <v>298</v>
      </c>
      <c r="C55" s="148" t="str">
        <f>VLOOKUP(A55,'[1]mFund List'!$A$2:$B$311,2,FALSE)</f>
        <v>Cromwell Phoenix Opportunities</v>
      </c>
      <c r="D55" s="149"/>
      <c r="E55" s="116"/>
      <c r="F55" s="133" t="str">
        <f>_xlfn.IFNA(VLOOKUP(A55,'[1]mFund List'!$A$2:$I$200,6,FALSE),"n/a")</f>
        <v>0.15%</v>
      </c>
      <c r="G55" s="134">
        <f>_xlfn.IFNA(VLOOKUP(A55,'[1]mFund List'!$A$2:$J$200,8,FALSE)/1000000,"n/a")</f>
        <v>1.4722959294108</v>
      </c>
      <c r="H55" s="135">
        <f>_xlfn.IFNA(VLOOKUP(A55,'[1]mFund List'!$A$2:$N$200,14,FALSE)/1000000,"n/a")</f>
        <v>-4.02767062506997E-2</v>
      </c>
      <c r="I55" s="134">
        <f>_xlfn.IFNA(VLOOKUP(A55,'[1]mFund List'!$A$2:$R$200,18,FALSE)/1000000,"n/a")</f>
        <v>-4.4390006372399836E-2</v>
      </c>
      <c r="J55" s="136">
        <f>_xlfn.IFNA(VLOOKUP(A55,[1]IRESS!$A$10:$F$875,5,FALSE),"n/a")</f>
        <v>44390</v>
      </c>
      <c r="K55" s="137">
        <f>_xlfn.IFNA(VLOOKUP(A55,[1]IRESS!$A$11:$G$684,7,FALSE),"n/a")</f>
        <v>21888.563300000002</v>
      </c>
      <c r="L55" s="136">
        <f>_xlfn.IFNA(VLOOKUP(A55,[1]IRESS!$A$10:$F$875,4,FALSE),"n/a")</f>
        <v>1</v>
      </c>
      <c r="M55" s="138">
        <f t="shared" si="0"/>
        <v>3.0150188636169421E-2</v>
      </c>
      <c r="N55" s="139" t="e">
        <f>VLOOKUP(A55,[1]Spreads!$A$1:$G$87,2,FALSE)</f>
        <v>#N/A</v>
      </c>
      <c r="O55" s="137" t="e">
        <f>VLOOKUP(A55,[1]Spreads!$A$1:$G$87,5,FALSE)/1000</f>
        <v>#N/A</v>
      </c>
      <c r="P55" s="140" t="e">
        <f>VLOOKUP(A55,[1]Spreads!$A$1:$G$87,6,FALSE)/1000</f>
        <v>#N/A</v>
      </c>
      <c r="R55" s="141">
        <f>_xlfn.IFNA(VLOOKUP($A55,[1]IRESS!$A$11:$AE$696,6,FALSE)/100,"n/a")</f>
        <v>2.028</v>
      </c>
      <c r="S55" s="117"/>
      <c r="T55" s="142" t="str">
        <f>IF(VLOOKUP($A55,[1]FE!$A$2:$G$498,3,FALSE)="N/A","n/a",IFERROR(VLOOKUP($A55,[1]FE!$A$2:$G$498,3,FALSE),"n/a"))</f>
        <v>n/a</v>
      </c>
      <c r="U55" s="138" t="str">
        <f>IF(VLOOKUP($A55,[1]FE!$A$2:$G$498,4,FALSE)="N/A","n/a",IFERROR(VLOOKUP($A55,[1]FE!$A$2:$G$498,4,FALSE),"n/a"))</f>
        <v>4.25%</v>
      </c>
      <c r="V55" s="142" t="str">
        <f>IF(VLOOKUP($A55,[1]FE!$A$2:$G$498,5,FALSE)="N/A","n/a",IFERROR(VLOOKUP($A55,[1]FE!$A$2:$G$498,5,FALSE),"n/a"))</f>
        <v>20.04%</v>
      </c>
      <c r="W55" s="138" t="str">
        <f>IF(VLOOKUP($A55,[1]FE!$A$2:$G$498,6,FALSE)="N/A","n/a",IFERROR(VLOOKUP($A55,[1]FE!$A$2:$G$498,6,FALSE),"n/a"))</f>
        <v>19.10%</v>
      </c>
      <c r="X55" s="142" t="str">
        <f>IF(VLOOKUP($A55,[1]FE!$A$2:$G$498,7,FALSE)="N/A","n/a",IFERROR(VLOOKUP($A55,[1]FE!$A$2:$G$498,7,FALSE),"n/a"))</f>
        <v>16.18%</v>
      </c>
    </row>
    <row r="56" spans="1:24" ht="18.75">
      <c r="A56" s="129" t="s">
        <v>341</v>
      </c>
      <c r="B56" s="130" t="s">
        <v>298</v>
      </c>
      <c r="C56" s="148" t="str">
        <f>VLOOKUP(A56,'[1]mFund List'!$A$2:$B$311,2,FALSE)</f>
        <v>Flinders Emerging Companies B</v>
      </c>
      <c r="D56" s="149"/>
      <c r="E56" s="116"/>
      <c r="F56" s="133" t="str">
        <f>_xlfn.IFNA(VLOOKUP(A56,'[1]mFund List'!$A$2:$I$200,6,FALSE),"n/a")</f>
        <v>1.20%</v>
      </c>
      <c r="G56" s="134">
        <f>_xlfn.IFNA(VLOOKUP(A56,'[1]mFund List'!$A$2:$J$200,8,FALSE)/1000000,"n/a")</f>
        <v>0.87523112096663991</v>
      </c>
      <c r="H56" s="135">
        <f>_xlfn.IFNA(VLOOKUP(A56,'[1]mFund List'!$A$2:$N$200,14,FALSE)/1000000,"n/a")</f>
        <v>8.6163906806200983E-3</v>
      </c>
      <c r="I56" s="134">
        <f>_xlfn.IFNA(VLOOKUP(A56,'[1]mFund List'!$A$2:$R$200,18,FALSE)/1000000,"n/a")</f>
        <v>0</v>
      </c>
      <c r="J56" s="136" t="str">
        <f>_xlfn.IFNA(VLOOKUP(A56,[1]IRESS!$A$10:$F$875,5,FALSE),"n/a")</f>
        <v>0</v>
      </c>
      <c r="K56" s="137" t="str">
        <f>_xlfn.IFNA(VLOOKUP(A56,[1]IRESS!$A$11:$G$684,7,FALSE),"n/a")</f>
        <v>0</v>
      </c>
      <c r="L56" s="136" t="str">
        <f>_xlfn.IFNA(VLOOKUP(A56,[1]IRESS!$A$10:$F$875,4,FALSE),"n/a")</f>
        <v>0</v>
      </c>
      <c r="M56" s="138">
        <f t="shared" si="0"/>
        <v>0</v>
      </c>
      <c r="N56" s="139" t="e">
        <f>VLOOKUP(A56,[1]Spreads!$A$1:$G$87,2,FALSE)</f>
        <v>#N/A</v>
      </c>
      <c r="O56" s="137" t="e">
        <f>VLOOKUP(A56,[1]Spreads!$A$1:$G$87,5,FALSE)/1000</f>
        <v>#N/A</v>
      </c>
      <c r="P56" s="140" t="e">
        <f>VLOOKUP(A56,[1]Spreads!$A$1:$G$87,6,FALSE)/1000</f>
        <v>#N/A</v>
      </c>
      <c r="R56" s="141">
        <f>_xlfn.IFNA(VLOOKUP($A56,[1]IRESS!$A$11:$AE$696,6,FALSE)/100,"n/a")</f>
        <v>1.4424000000000001</v>
      </c>
      <c r="S56" s="117"/>
      <c r="T56" s="142" t="str">
        <f>IF(VLOOKUP($A56,[1]FE!$A$2:$G$498,3,FALSE)="N/A","n/a",IFERROR(VLOOKUP($A56,[1]FE!$A$2:$G$498,3,FALSE),"n/a"))</f>
        <v>0.99%</v>
      </c>
      <c r="U56" s="138" t="str">
        <f>IF(VLOOKUP($A56,[1]FE!$A$2:$G$498,4,FALSE)="N/A","n/a",IFERROR(VLOOKUP($A56,[1]FE!$A$2:$G$498,4,FALSE),"n/a"))</f>
        <v>8.61%</v>
      </c>
      <c r="V56" s="142" t="str">
        <f>IF(VLOOKUP($A56,[1]FE!$A$2:$G$498,5,FALSE)="N/A","n/a",IFERROR(VLOOKUP($A56,[1]FE!$A$2:$G$498,5,FALSE),"n/a"))</f>
        <v>32.58%</v>
      </c>
      <c r="W56" s="138" t="str">
        <f>IF(VLOOKUP($A56,[1]FE!$A$2:$G$498,6,FALSE)="N/A","n/a",IFERROR(VLOOKUP($A56,[1]FE!$A$2:$G$498,6,FALSE),"n/a"))</f>
        <v>n/a</v>
      </c>
      <c r="X56" s="142" t="str">
        <f>IF(VLOOKUP($A56,[1]FE!$A$2:$G$498,7,FALSE)="N/A","n/a",IFERROR(VLOOKUP($A56,[1]FE!$A$2:$G$498,7,FALSE),"n/a"))</f>
        <v>n/a</v>
      </c>
    </row>
    <row r="57" spans="1:24" ht="18.75">
      <c r="A57" s="129" t="s">
        <v>342</v>
      </c>
      <c r="B57" s="130" t="s">
        <v>298</v>
      </c>
      <c r="C57" s="148" t="str">
        <f>VLOOKUP(A57,'[1]mFund List'!$A$2:$B$311,2,FALSE)</f>
        <v>Fairview Equity Partners Emerging Companies</v>
      </c>
      <c r="D57" s="149"/>
      <c r="E57" s="116"/>
      <c r="F57" s="133" t="str">
        <f>_xlfn.IFNA(VLOOKUP(A57,'[1]mFund List'!$A$2:$I$200,6,FALSE),"n/a")</f>
        <v>1.20%</v>
      </c>
      <c r="G57" s="134">
        <f>_xlfn.IFNA(VLOOKUP(A57,'[1]mFund List'!$A$2:$J$200,8,FALSE)/1000000,"n/a")</f>
        <v>1.4894718337653701</v>
      </c>
      <c r="H57" s="135">
        <f>_xlfn.IFNA(VLOOKUP(A57,'[1]mFund List'!$A$2:$N$200,14,FALSE)/1000000,"n/a")</f>
        <v>3.8717913475809849E-2</v>
      </c>
      <c r="I57" s="134">
        <f>_xlfn.IFNA(VLOOKUP(A57,'[1]mFund List'!$A$2:$R$200,18,FALSE)/1000000,"n/a")</f>
        <v>2.1985726155889854E-2</v>
      </c>
      <c r="J57" s="136">
        <f>_xlfn.IFNA(VLOOKUP(A57,[1]IRESS!$A$10:$F$875,5,FALSE),"n/a")</f>
        <v>28043.13</v>
      </c>
      <c r="K57" s="137">
        <f>_xlfn.IFNA(VLOOKUP(A57,[1]IRESS!$A$11:$G$684,7,FALSE),"n/a")</f>
        <v>11648.901900000001</v>
      </c>
      <c r="L57" s="136">
        <f>_xlfn.IFNA(VLOOKUP(A57,[1]IRESS!$A$10:$F$875,4,FALSE),"n/a")</f>
        <v>2</v>
      </c>
      <c r="M57" s="138">
        <f t="shared" si="0"/>
        <v>1.8827566499936589E-2</v>
      </c>
      <c r="N57" s="139" t="e">
        <f>VLOOKUP(A57,[1]Spreads!$A$1:$G$87,2,FALSE)</f>
        <v>#N/A</v>
      </c>
      <c r="O57" s="137" t="e">
        <f>VLOOKUP(A57,[1]Spreads!$A$1:$G$87,5,FALSE)/1000</f>
        <v>#N/A</v>
      </c>
      <c r="P57" s="140" t="e">
        <f>VLOOKUP(A57,[1]Spreads!$A$1:$G$87,6,FALSE)/1000</f>
        <v>#N/A</v>
      </c>
      <c r="R57" s="141">
        <f>_xlfn.IFNA(VLOOKUP($A57,[1]IRESS!$A$11:$AE$696,6,FALSE)/100,"n/a")</f>
        <v>2.4031000000000002</v>
      </c>
      <c r="S57" s="117"/>
      <c r="T57" s="142" t="str">
        <f>IF(VLOOKUP($A57,[1]FE!$A$2:$G$498,3,FALSE)="N/A","n/a",IFERROR(VLOOKUP($A57,[1]FE!$A$2:$G$498,3,FALSE),"n/a"))</f>
        <v>1.15%</v>
      </c>
      <c r="U57" s="138" t="str">
        <f>IF(VLOOKUP($A57,[1]FE!$A$2:$G$498,4,FALSE)="N/A","n/a",IFERROR(VLOOKUP($A57,[1]FE!$A$2:$G$498,4,FALSE),"n/a"))</f>
        <v>7.80%</v>
      </c>
      <c r="V57" s="142" t="str">
        <f>IF(VLOOKUP($A57,[1]FE!$A$2:$G$498,5,FALSE)="N/A","n/a",IFERROR(VLOOKUP($A57,[1]FE!$A$2:$G$498,5,FALSE),"n/a"))</f>
        <v>24.96%</v>
      </c>
      <c r="W57" s="138" t="str">
        <f>IF(VLOOKUP($A57,[1]FE!$A$2:$G$498,6,FALSE)="N/A","n/a",IFERROR(VLOOKUP($A57,[1]FE!$A$2:$G$498,6,FALSE),"n/a"))</f>
        <v>12.12%</v>
      </c>
      <c r="X57" s="142" t="str">
        <f>IF(VLOOKUP($A57,[1]FE!$A$2:$G$498,7,FALSE)="N/A","n/a",IFERROR(VLOOKUP($A57,[1]FE!$A$2:$G$498,7,FALSE),"n/a"))</f>
        <v>11.63%</v>
      </c>
    </row>
    <row r="58" spans="1:24">
      <c r="A58" s="129" t="s">
        <v>343</v>
      </c>
      <c r="B58" s="130" t="s">
        <v>298</v>
      </c>
      <c r="C58" s="131" t="str">
        <f>VLOOKUP(A58,'[1]mFund List'!$A$2:$B$311,2,FALSE)</f>
        <v>Hyperion Small Growth Companies</v>
      </c>
      <c r="D58" s="132"/>
      <c r="E58" s="116"/>
      <c r="F58" s="133" t="str">
        <f>_xlfn.IFNA(VLOOKUP(A58,'[1]mFund List'!$A$2:$I$200,6,FALSE),"n/a")</f>
        <v>1.25%</v>
      </c>
      <c r="G58" s="134">
        <f>_xlfn.IFNA(VLOOKUP(A58,'[1]mFund List'!$A$2:$J$200,8,FALSE)/1000000,"n/a")</f>
        <v>1.04808466888672</v>
      </c>
      <c r="H58" s="135">
        <f>_xlfn.IFNA(VLOOKUP(A58,'[1]mFund List'!$A$2:$N$200,14,FALSE)/1000000,"n/a")</f>
        <v>2.9245228467899956E-2</v>
      </c>
      <c r="I58" s="134">
        <f>_xlfn.IFNA(VLOOKUP(A58,'[1]mFund List'!$A$2:$R$200,18,FALSE)/1000000,"n/a")</f>
        <v>0</v>
      </c>
      <c r="J58" s="136" t="str">
        <f>_xlfn.IFNA(VLOOKUP(A58,[1]IRESS!$A$10:$F$875,5,FALSE),"n/a")</f>
        <v>0</v>
      </c>
      <c r="K58" s="137" t="str">
        <f>_xlfn.IFNA(VLOOKUP(A58,[1]IRESS!$A$11:$G$684,7,FALSE),"n/a")</f>
        <v>0</v>
      </c>
      <c r="L58" s="136" t="str">
        <f>_xlfn.IFNA(VLOOKUP(A58,[1]IRESS!$A$10:$F$875,4,FALSE),"n/a")</f>
        <v>0</v>
      </c>
      <c r="M58" s="138">
        <f t="shared" si="0"/>
        <v>0</v>
      </c>
      <c r="N58" s="139" t="e">
        <f>VLOOKUP(A58,[1]Spreads!$A$1:$G$87,2,FALSE)</f>
        <v>#N/A</v>
      </c>
      <c r="O58" s="137" t="e">
        <f>VLOOKUP(A58,[1]Spreads!$A$1:$G$87,5,FALSE)/1000</f>
        <v>#N/A</v>
      </c>
      <c r="P58" s="140" t="e">
        <f>VLOOKUP(A58,[1]Spreads!$A$1:$G$87,6,FALSE)/1000</f>
        <v>#N/A</v>
      </c>
      <c r="R58" s="141"/>
      <c r="S58" s="150"/>
      <c r="T58" s="142" t="str">
        <f>IF(VLOOKUP($A58,[1]FE!$A$2:$G$498,3,FALSE)="N/A","n/a",IFERROR(VLOOKUP($A58,[1]FE!$A$2:$G$498,3,FALSE),"n/a"))</f>
        <v>2.87%</v>
      </c>
      <c r="U58" s="138" t="str">
        <f>IF(VLOOKUP($A58,[1]FE!$A$2:$G$498,4,FALSE)="N/A","n/a",IFERROR(VLOOKUP($A58,[1]FE!$A$2:$G$498,4,FALSE),"n/a"))</f>
        <v>14.01%</v>
      </c>
      <c r="V58" s="142" t="str">
        <f>IF(VLOOKUP($A58,[1]FE!$A$2:$G$498,5,FALSE)="N/A","n/a",IFERROR(VLOOKUP($A58,[1]FE!$A$2:$G$498,5,FALSE),"n/a"))</f>
        <v>16.51%</v>
      </c>
      <c r="W58" s="138" t="str">
        <f>IF(VLOOKUP($A58,[1]FE!$A$2:$G$498,6,FALSE)="N/A","n/a",IFERROR(VLOOKUP($A58,[1]FE!$A$2:$G$498,6,FALSE),"n/a"))</f>
        <v>12.94%</v>
      </c>
      <c r="X58" s="142" t="str">
        <f>IF(VLOOKUP($A58,[1]FE!$A$2:$G$498,7,FALSE)="N/A","n/a",IFERROR(VLOOKUP($A58,[1]FE!$A$2:$G$498,7,FALSE),"n/a"))</f>
        <v>13.92%</v>
      </c>
    </row>
    <row r="59" spans="1:24" ht="18.75">
      <c r="A59" s="129" t="s">
        <v>344</v>
      </c>
      <c r="B59" s="130" t="s">
        <v>298</v>
      </c>
      <c r="C59" s="131" t="str">
        <f>VLOOKUP(A59,'[1]mFund List'!$A$2:$B$311,2,FALSE)</f>
        <v>Invesco Wholesale Australian Smaller Companies Fund – Class A</v>
      </c>
      <c r="D59" s="132"/>
      <c r="E59" s="116"/>
      <c r="F59" s="133" t="str">
        <f>_xlfn.IFNA(VLOOKUP(A59,'[1]mFund List'!$A$2:$I$200,6,FALSE),"n/a")</f>
        <v>1.25%</v>
      </c>
      <c r="G59" s="134">
        <f>_xlfn.IFNA(VLOOKUP(A59,'[1]mFund List'!$A$2:$J$200,8,FALSE)/1000000,"n/a")</f>
        <v>0</v>
      </c>
      <c r="H59" s="135">
        <f>_xlfn.IFNA(VLOOKUP(A59,'[1]mFund List'!$A$2:$N$200,14,FALSE)/1000000,"n/a")</f>
        <v>0</v>
      </c>
      <c r="I59" s="134">
        <f>_xlfn.IFNA(VLOOKUP(A59,'[1]mFund List'!$A$2:$R$200,18,FALSE)/1000000,"n/a")</f>
        <v>0</v>
      </c>
      <c r="J59" s="136" t="str">
        <f>_xlfn.IFNA(VLOOKUP(A59,[1]IRESS!$A$10:$F$875,5,FALSE),"n/a")</f>
        <v>0</v>
      </c>
      <c r="K59" s="137" t="str">
        <f>_xlfn.IFNA(VLOOKUP(A59,[1]IRESS!$A$11:$G$684,7,FALSE),"n/a")</f>
        <v>0</v>
      </c>
      <c r="L59" s="136" t="str">
        <f>_xlfn.IFNA(VLOOKUP(A59,[1]IRESS!$A$10:$F$875,4,FALSE),"n/a")</f>
        <v>0</v>
      </c>
      <c r="M59" s="138" t="e">
        <f t="shared" si="0"/>
        <v>#DIV/0!</v>
      </c>
      <c r="N59" s="139" t="e">
        <f>VLOOKUP(A59,[1]Spreads!$A$1:$G$87,2,FALSE)</f>
        <v>#N/A</v>
      </c>
      <c r="O59" s="137" t="e">
        <f>VLOOKUP(A59,[1]Spreads!$A$1:$G$87,5,FALSE)/1000</f>
        <v>#N/A</v>
      </c>
      <c r="P59" s="140" t="e">
        <f>VLOOKUP(A59,[1]Spreads!$A$1:$G$87,6,FALSE)/1000</f>
        <v>#N/A</v>
      </c>
      <c r="R59" s="141">
        <f>_xlfn.IFNA(VLOOKUP($A59,[1]IRESS!$A$11:$AE$696,6,FALSE)/100,"n/a")</f>
        <v>2.9624999999999999</v>
      </c>
      <c r="S59" s="117"/>
      <c r="T59" s="142" t="str">
        <f>IF(VLOOKUP($A59,[1]FE!$A$2:$G$498,3,FALSE)="N/A","n/a",IFERROR(VLOOKUP($A59,[1]FE!$A$2:$G$498,3,FALSE),"n/a"))</f>
        <v>1.07%</v>
      </c>
      <c r="U59" s="138" t="str">
        <f>IF(VLOOKUP($A59,[1]FE!$A$2:$G$498,4,FALSE)="N/A","n/a",IFERROR(VLOOKUP($A59,[1]FE!$A$2:$G$498,4,FALSE),"n/a"))</f>
        <v>8.86%</v>
      </c>
      <c r="V59" s="142" t="str">
        <f>IF(VLOOKUP($A59,[1]FE!$A$2:$G$498,5,FALSE)="N/A","n/a",IFERROR(VLOOKUP($A59,[1]FE!$A$2:$G$498,5,FALSE),"n/a"))</f>
        <v>23.92%</v>
      </c>
      <c r="W59" s="138" t="str">
        <f>IF(VLOOKUP($A59,[1]FE!$A$2:$G$498,6,FALSE)="N/A","n/a",IFERROR(VLOOKUP($A59,[1]FE!$A$2:$G$498,6,FALSE),"n/a"))</f>
        <v>13.02%</v>
      </c>
      <c r="X59" s="142" t="str">
        <f>IF(VLOOKUP($A59,[1]FE!$A$2:$G$498,7,FALSE)="N/A","n/a",IFERROR(VLOOKUP($A59,[1]FE!$A$2:$G$498,7,FALSE),"n/a"))</f>
        <v>8.10%</v>
      </c>
    </row>
    <row r="60" spans="1:24" ht="18.75">
      <c r="A60" s="129" t="s">
        <v>345</v>
      </c>
      <c r="B60" s="130" t="s">
        <v>298</v>
      </c>
      <c r="C60" s="131" t="str">
        <f>VLOOKUP(A60,'[1]mFund List'!$A$2:$B$311,2,FALSE)</f>
        <v>Alpha Australian Small Companies</v>
      </c>
      <c r="D60" s="132"/>
      <c r="E60" s="116"/>
      <c r="F60" s="133" t="str">
        <f>_xlfn.IFNA(VLOOKUP(A60,'[1]mFund List'!$A$2:$I$200,6,FALSE),"n/a")</f>
        <v>0.50%</v>
      </c>
      <c r="G60" s="134">
        <f>_xlfn.IFNA(VLOOKUP(A60,'[1]mFund List'!$A$2:$J$200,8,FALSE)/1000000,"n/a")</f>
        <v>4.1311531877940004E-2</v>
      </c>
      <c r="H60" s="135">
        <f>_xlfn.IFNA(VLOOKUP(A60,'[1]mFund List'!$A$2:$N$200,14,FALSE)/1000000,"n/a")</f>
        <v>5.3744820192000041E-4</v>
      </c>
      <c r="I60" s="134">
        <f>_xlfn.IFNA(VLOOKUP(A60,'[1]mFund List'!$A$2:$R$200,18,FALSE)/1000000,"n/a")</f>
        <v>0</v>
      </c>
      <c r="J60" s="136" t="str">
        <f>_xlfn.IFNA(VLOOKUP(A60,[1]IRESS!$A$10:$F$875,5,FALSE),"n/a")</f>
        <v>0</v>
      </c>
      <c r="K60" s="137" t="str">
        <f>_xlfn.IFNA(VLOOKUP(A60,[1]IRESS!$A$11:$G$684,7,FALSE),"n/a")</f>
        <v>0</v>
      </c>
      <c r="L60" s="136" t="str">
        <f>_xlfn.IFNA(VLOOKUP(A60,[1]IRESS!$A$10:$F$875,4,FALSE),"n/a")</f>
        <v>0</v>
      </c>
      <c r="M60" s="138">
        <f t="shared" si="0"/>
        <v>0</v>
      </c>
      <c r="N60" s="139" t="e">
        <f>VLOOKUP(A60,[1]Spreads!$A$1:$G$87,2,FALSE)</f>
        <v>#N/A</v>
      </c>
      <c r="O60" s="137" t="e">
        <f>VLOOKUP(A60,[1]Spreads!$A$1:$G$87,5,FALSE)/1000</f>
        <v>#N/A</v>
      </c>
      <c r="P60" s="140" t="e">
        <f>VLOOKUP(A60,[1]Spreads!$A$1:$G$87,6,FALSE)/1000</f>
        <v>#N/A</v>
      </c>
      <c r="R60" s="141">
        <f>_xlfn.IFNA(VLOOKUP($A60,[1]IRESS!$A$11:$AE$696,6,FALSE)/100,"n/a")</f>
        <v>0.8609</v>
      </c>
      <c r="S60" s="117"/>
      <c r="T60" s="142" t="str">
        <f>IF(VLOOKUP($A60,[1]FE!$A$2:$G$498,3,FALSE)="N/A","n/a",IFERROR(VLOOKUP($A60,[1]FE!$A$2:$G$498,3,FALSE),"n/a"))</f>
        <v>0.91%</v>
      </c>
      <c r="U60" s="138" t="str">
        <f>IF(VLOOKUP($A60,[1]FE!$A$2:$G$498,4,FALSE)="N/A","n/a",IFERROR(VLOOKUP($A60,[1]FE!$A$2:$G$498,4,FALSE),"n/a"))</f>
        <v>2.70%</v>
      </c>
      <c r="V60" s="142" t="str">
        <f>IF(VLOOKUP($A60,[1]FE!$A$2:$G$498,5,FALSE)="N/A","n/a",IFERROR(VLOOKUP($A60,[1]FE!$A$2:$G$498,5,FALSE),"n/a"))</f>
        <v>18.37%</v>
      </c>
      <c r="W60" s="138" t="str">
        <f>IF(VLOOKUP($A60,[1]FE!$A$2:$G$498,6,FALSE)="N/A","n/a",IFERROR(VLOOKUP($A60,[1]FE!$A$2:$G$498,6,FALSE),"n/a"))</f>
        <v>15.44%</v>
      </c>
      <c r="X60" s="142" t="str">
        <f>IF(VLOOKUP($A60,[1]FE!$A$2:$G$498,7,FALSE)="N/A","n/a",IFERROR(VLOOKUP($A60,[1]FE!$A$2:$G$498,7,FALSE),"n/a"))</f>
        <v>12.98%</v>
      </c>
    </row>
    <row r="61" spans="1:24" ht="18.75">
      <c r="A61" s="129" t="s">
        <v>346</v>
      </c>
      <c r="B61" s="130" t="s">
        <v>298</v>
      </c>
      <c r="C61" s="148" t="str">
        <f>VLOOKUP(A61,'[1]mFund List'!$A$2:$B$311,2,FALSE)</f>
        <v>Legg Mason Australian Small Companies Trust A</v>
      </c>
      <c r="D61" s="149"/>
      <c r="E61" s="116"/>
      <c r="F61" s="133" t="str">
        <f>_xlfn.IFNA(VLOOKUP(A61,'[1]mFund List'!$A$2:$I$200,6,FALSE),"n/a")</f>
        <v>1.10%</v>
      </c>
      <c r="G61" s="134">
        <f>_xlfn.IFNA(VLOOKUP(A61,'[1]mFund List'!$A$2:$J$200,8,FALSE)/1000000,"n/a")</f>
        <v>0</v>
      </c>
      <c r="H61" s="135">
        <f>_xlfn.IFNA(VLOOKUP(A61,'[1]mFund List'!$A$2:$N$200,14,FALSE)/1000000,"n/a")</f>
        <v>0</v>
      </c>
      <c r="I61" s="134">
        <f>_xlfn.IFNA(VLOOKUP(A61,'[1]mFund List'!$A$2:$R$200,18,FALSE)/1000000,"n/a")</f>
        <v>0</v>
      </c>
      <c r="J61" s="136" t="str">
        <f>_xlfn.IFNA(VLOOKUP(A61,[1]IRESS!$A$10:$F$875,5,FALSE),"n/a")</f>
        <v>0</v>
      </c>
      <c r="K61" s="137" t="str">
        <f>_xlfn.IFNA(VLOOKUP(A61,[1]IRESS!$A$11:$G$684,7,FALSE),"n/a")</f>
        <v>0</v>
      </c>
      <c r="L61" s="136" t="str">
        <f>_xlfn.IFNA(VLOOKUP(A61,[1]IRESS!$A$10:$F$875,4,FALSE),"n/a")</f>
        <v>0</v>
      </c>
      <c r="M61" s="138" t="e">
        <f t="shared" si="0"/>
        <v>#DIV/0!</v>
      </c>
      <c r="N61" s="139" t="e">
        <f>VLOOKUP(A61,[1]Spreads!$A$1:$G$87,2,FALSE)</f>
        <v>#N/A</v>
      </c>
      <c r="O61" s="137" t="e">
        <f>VLOOKUP(A61,[1]Spreads!$A$1:$G$87,5,FALSE)/1000</f>
        <v>#N/A</v>
      </c>
      <c r="P61" s="140" t="e">
        <f>VLOOKUP(A61,[1]Spreads!$A$1:$G$87,6,FALSE)/1000</f>
        <v>#N/A</v>
      </c>
      <c r="R61" s="141">
        <f>_xlfn.IFNA(VLOOKUP($A61,[1]IRESS!$A$11:$AE$696,6,FALSE)/100,"n/a")</f>
        <v>1.0904700000000001</v>
      </c>
      <c r="S61" s="117"/>
      <c r="T61" s="142" t="str">
        <f>IF(VLOOKUP($A61,[1]FE!$A$2:$G$498,3,FALSE)="N/A","n/a",IFERROR(VLOOKUP($A61,[1]FE!$A$2:$G$498,3,FALSE),"n/a"))</f>
        <v>0.85%</v>
      </c>
      <c r="U61" s="138" t="str">
        <f>IF(VLOOKUP($A61,[1]FE!$A$2:$G$498,4,FALSE)="N/A","n/a",IFERROR(VLOOKUP($A61,[1]FE!$A$2:$G$498,4,FALSE),"n/a"))</f>
        <v>5.96%</v>
      </c>
      <c r="V61" s="142" t="str">
        <f>IF(VLOOKUP($A61,[1]FE!$A$2:$G$498,5,FALSE)="N/A","n/a",IFERROR(VLOOKUP($A61,[1]FE!$A$2:$G$498,5,FALSE),"n/a"))</f>
        <v>23.40%</v>
      </c>
      <c r="W61" s="138" t="str">
        <f>IF(VLOOKUP($A61,[1]FE!$A$2:$G$498,6,FALSE)="N/A","n/a",IFERROR(VLOOKUP($A61,[1]FE!$A$2:$G$498,6,FALSE),"n/a"))</f>
        <v>7.27%</v>
      </c>
      <c r="X61" s="142" t="str">
        <f>IF(VLOOKUP($A61,[1]FE!$A$2:$G$498,7,FALSE)="N/A","n/a",IFERROR(VLOOKUP($A61,[1]FE!$A$2:$G$498,7,FALSE),"n/a"))</f>
        <v>6.07%</v>
      </c>
    </row>
    <row r="62" spans="1:24" ht="18.75">
      <c r="A62" s="129" t="s">
        <v>347</v>
      </c>
      <c r="B62" s="130" t="s">
        <v>298</v>
      </c>
      <c r="C62" s="148" t="str">
        <f>VLOOKUP(A62,'[1]mFund List'!$A$2:$B$311,2,FALSE)</f>
        <v>MHOR Australian Small Cap Fund</v>
      </c>
      <c r="D62" s="149"/>
      <c r="E62" s="116"/>
      <c r="F62" s="133" t="str">
        <f>_xlfn.IFNA(VLOOKUP(A62,'[1]mFund List'!$A$2:$I$200,6,FALSE),"n/a")</f>
        <v>1.50%</v>
      </c>
      <c r="G62" s="134">
        <f>_xlfn.IFNA(VLOOKUP(A62,'[1]mFund List'!$A$2:$J$200,8,FALSE)/1000000,"n/a")</f>
        <v>1.19634059542214</v>
      </c>
      <c r="H62" s="135">
        <f>_xlfn.IFNA(VLOOKUP(A62,'[1]mFund List'!$A$2:$N$200,14,FALSE)/1000000,"n/a")</f>
        <v>0.31571088181265011</v>
      </c>
      <c r="I62" s="134">
        <f>_xlfn.IFNA(VLOOKUP(A62,'[1]mFund List'!$A$2:$R$200,18,FALSE)/1000000,"n/a")</f>
        <v>0.31195867425257001</v>
      </c>
      <c r="J62" s="136">
        <f>_xlfn.IFNA(VLOOKUP(A62,[1]IRESS!$A$10:$F$875,5,FALSE),"n/a")</f>
        <v>312000</v>
      </c>
      <c r="K62" s="137">
        <f>_xlfn.IFNA(VLOOKUP(A62,[1]IRESS!$A$11:$G$684,7,FALSE),"n/a")</f>
        <v>236350.23430000001</v>
      </c>
      <c r="L62" s="136">
        <f>_xlfn.IFNA(VLOOKUP(A62,[1]IRESS!$A$10:$F$875,4,FALSE),"n/a")</f>
        <v>7</v>
      </c>
      <c r="M62" s="138">
        <f t="shared" si="0"/>
        <v>0.26079529625082049</v>
      </c>
      <c r="N62" s="139" t="e">
        <f>VLOOKUP(A62,[1]Spreads!$A$1:$G$87,2,FALSE)</f>
        <v>#N/A</v>
      </c>
      <c r="O62" s="137" t="e">
        <f>VLOOKUP(A62,[1]Spreads!$A$1:$G$87,5,FALSE)/1000</f>
        <v>#N/A</v>
      </c>
      <c r="P62" s="140" t="e">
        <f>VLOOKUP(A62,[1]Spreads!$A$1:$G$87,6,FALSE)/1000</f>
        <v>#N/A</v>
      </c>
      <c r="R62" s="141">
        <f>_xlfn.IFNA(VLOOKUP($A62,[1]IRESS!$A$11:$AE$696,6,FALSE)/100,"n/a")</f>
        <v>1.3199000000000001</v>
      </c>
      <c r="S62" s="117"/>
      <c r="T62" s="142" t="str">
        <f>IF(VLOOKUP($A62,[1]FE!$A$2:$G$498,3,FALSE)="N/A","n/a",IFERROR(VLOOKUP($A62,[1]FE!$A$2:$G$498,3,FALSE),"n/a"))</f>
        <v>0.43%</v>
      </c>
      <c r="U62" s="138" t="str">
        <f>IF(VLOOKUP($A62,[1]FE!$A$2:$G$498,4,FALSE)="N/A","n/a",IFERROR(VLOOKUP($A62,[1]FE!$A$2:$G$498,4,FALSE),"n/a"))</f>
        <v>2.02%</v>
      </c>
      <c r="V62" s="142" t="str">
        <f>IF(VLOOKUP($A62,[1]FE!$A$2:$G$498,5,FALSE)="N/A","n/a",IFERROR(VLOOKUP($A62,[1]FE!$A$2:$G$498,5,FALSE),"n/a"))</f>
        <v>24.09%</v>
      </c>
      <c r="W62" s="138" t="str">
        <f>IF(VLOOKUP($A62,[1]FE!$A$2:$G$498,6,FALSE)="N/A","n/a",IFERROR(VLOOKUP($A62,[1]FE!$A$2:$G$498,6,FALSE),"n/a"))</f>
        <v>7.54%</v>
      </c>
      <c r="X62" s="142" t="str">
        <f>IF(VLOOKUP($A62,[1]FE!$A$2:$G$498,7,FALSE)="N/A","n/a",IFERROR(VLOOKUP($A62,[1]FE!$A$2:$G$498,7,FALSE),"n/a"))</f>
        <v>4.17%</v>
      </c>
    </row>
    <row r="63" spans="1:24" ht="18.75">
      <c r="A63" s="129" t="s">
        <v>348</v>
      </c>
      <c r="B63" s="130" t="s">
        <v>298</v>
      </c>
      <c r="C63" s="148" t="str">
        <f>VLOOKUP(A63,'[1]mFund List'!$A$2:$B$311,2,FALSE)</f>
        <v>SGH Emerging Companies</v>
      </c>
      <c r="D63" s="149"/>
      <c r="E63" s="116"/>
      <c r="F63" s="133" t="str">
        <f>_xlfn.IFNA(VLOOKUP(A63,'[1]mFund List'!$A$2:$I$200,6,FALSE),"n/a")</f>
        <v>1.03%</v>
      </c>
      <c r="G63" s="134">
        <f>_xlfn.IFNA(VLOOKUP(A63,'[1]mFund List'!$A$2:$J$200,8,FALSE)/1000000,"n/a")</f>
        <v>1.3646588649421498</v>
      </c>
      <c r="H63" s="135">
        <f>_xlfn.IFNA(VLOOKUP(A63,'[1]mFund List'!$A$2:$N$200,14,FALSE)/1000000,"n/a")</f>
        <v>1.2328655789789743E-2</v>
      </c>
      <c r="I63" s="134">
        <f>_xlfn.IFNA(VLOOKUP(A63,'[1]mFund List'!$A$2:$R$200,18,FALSE)/1000000,"n/a")</f>
        <v>7.1347976218349901E-2</v>
      </c>
      <c r="J63" s="136">
        <f>_xlfn.IFNA(VLOOKUP(A63,[1]IRESS!$A$10:$F$875,5,FALSE),"n/a")</f>
        <v>197180.7</v>
      </c>
      <c r="K63" s="137">
        <f>_xlfn.IFNA(VLOOKUP(A63,[1]IRESS!$A$11:$G$684,7,FALSE),"n/a")</f>
        <v>48118.471100000002</v>
      </c>
      <c r="L63" s="136">
        <f>_xlfn.IFNA(VLOOKUP(A63,[1]IRESS!$A$10:$F$875,4,FALSE),"n/a")</f>
        <v>6</v>
      </c>
      <c r="M63" s="138">
        <f t="shared" si="0"/>
        <v>0.14449083581658251</v>
      </c>
      <c r="N63" s="139" t="e">
        <f>VLOOKUP(A63,[1]Spreads!$A$1:$G$87,2,FALSE)</f>
        <v>#N/A</v>
      </c>
      <c r="O63" s="137" t="e">
        <f>VLOOKUP(A63,[1]Spreads!$A$1:$G$87,5,FALSE)/1000</f>
        <v>#N/A</v>
      </c>
      <c r="P63" s="140" t="e">
        <f>VLOOKUP(A63,[1]Spreads!$A$1:$G$87,6,FALSE)/1000</f>
        <v>#N/A</v>
      </c>
      <c r="R63" s="141">
        <f>_xlfn.IFNA(VLOOKUP($A63,[1]IRESS!$A$11:$AE$696,6,FALSE)/100,"n/a")</f>
        <v>4.0714999999999995</v>
      </c>
      <c r="S63" s="117"/>
      <c r="T63" s="142" t="str">
        <f>IF(VLOOKUP($A63,[1]FE!$A$2:$G$498,3,FALSE)="N/A","n/a",IFERROR(VLOOKUP($A63,[1]FE!$A$2:$G$498,3,FALSE),"n/a"))</f>
        <v>-4.36%</v>
      </c>
      <c r="U63" s="138" t="str">
        <f>IF(VLOOKUP($A63,[1]FE!$A$2:$G$498,4,FALSE)="N/A","n/a",IFERROR(VLOOKUP($A63,[1]FE!$A$2:$G$498,4,FALSE),"n/a"))</f>
        <v>-2.35%</v>
      </c>
      <c r="V63" s="142" t="str">
        <f>IF(VLOOKUP($A63,[1]FE!$A$2:$G$498,5,FALSE)="N/A","n/a",IFERROR(VLOOKUP($A63,[1]FE!$A$2:$G$498,5,FALSE),"n/a"))</f>
        <v>25.91%</v>
      </c>
      <c r="W63" s="138" t="str">
        <f>IF(VLOOKUP($A63,[1]FE!$A$2:$G$498,6,FALSE)="N/A","n/a",IFERROR(VLOOKUP($A63,[1]FE!$A$2:$G$498,6,FALSE),"n/a"))</f>
        <v>25.09%</v>
      </c>
      <c r="X63" s="142" t="str">
        <f>IF(VLOOKUP($A63,[1]FE!$A$2:$G$498,7,FALSE)="N/A","n/a",IFERROR(VLOOKUP($A63,[1]FE!$A$2:$G$498,7,FALSE),"n/a"))</f>
        <v>24.69%</v>
      </c>
    </row>
    <row r="64" spans="1:24" ht="18.75">
      <c r="A64" s="129" t="s">
        <v>349</v>
      </c>
      <c r="B64" s="130" t="s">
        <v>298</v>
      </c>
      <c r="C64" s="148" t="str">
        <f>VLOOKUP(A64,'[1]mFund List'!$A$2:$B$311,2,FALSE)</f>
        <v>Spheria Australian Smaller Companies Fund</v>
      </c>
      <c r="D64" s="149"/>
      <c r="E64" s="116"/>
      <c r="F64" s="133" t="str">
        <f>_xlfn.IFNA(VLOOKUP(A64,'[1]mFund List'!$A$2:$I$200,6,FALSE),"n/a")</f>
        <v>1.35%</v>
      </c>
      <c r="G64" s="134">
        <f>_xlfn.IFNA(VLOOKUP(A64,'[1]mFund List'!$A$2:$J$200,8,FALSE)/1000000,"n/a")</f>
        <v>2.0141334699914801</v>
      </c>
      <c r="H64" s="135">
        <f>_xlfn.IFNA(VLOOKUP(A64,'[1]mFund List'!$A$2:$N$200,14,FALSE)/1000000,"n/a")</f>
        <v>-0.22241969132022002</v>
      </c>
      <c r="I64" s="134">
        <f>_xlfn.IFNA(VLOOKUP(A64,'[1]mFund List'!$A$2:$R$200,18,FALSE)/1000000,"n/a")</f>
        <v>-0.23020077174831982</v>
      </c>
      <c r="J64" s="136">
        <f>_xlfn.IFNA(VLOOKUP(A64,[1]IRESS!$A$10:$F$875,5,FALSE),"n/a")</f>
        <v>229912.67</v>
      </c>
      <c r="K64" s="137">
        <f>_xlfn.IFNA(VLOOKUP(A64,[1]IRESS!$A$11:$G$684,7,FALSE),"n/a")</f>
        <v>173500.73239999998</v>
      </c>
      <c r="L64" s="136">
        <f>_xlfn.IFNA(VLOOKUP(A64,[1]IRESS!$A$10:$F$875,4,FALSE),"n/a")</f>
        <v>2</v>
      </c>
      <c r="M64" s="138">
        <f t="shared" si="0"/>
        <v>0.11414966953554102</v>
      </c>
      <c r="N64" s="139" t="e">
        <f>VLOOKUP(A64,[1]Spreads!$A$1:$G$87,2,FALSE)</f>
        <v>#N/A</v>
      </c>
      <c r="O64" s="137" t="e">
        <f>VLOOKUP(A64,[1]Spreads!$A$1:$G$87,5,FALSE)/1000</f>
        <v>#N/A</v>
      </c>
      <c r="P64" s="140" t="e">
        <f>VLOOKUP(A64,[1]Spreads!$A$1:$G$87,6,FALSE)/1000</f>
        <v>#N/A</v>
      </c>
      <c r="R64" s="141">
        <f>_xlfn.IFNA(VLOOKUP($A64,[1]IRESS!$A$11:$AE$696,6,FALSE)/100,"n/a")</f>
        <v>1.3268</v>
      </c>
      <c r="S64" s="117"/>
      <c r="T64" s="142" t="str">
        <f>IF(VLOOKUP($A64,[1]FE!$A$2:$G$498,3,FALSE)="N/A","n/a",IFERROR(VLOOKUP($A64,[1]FE!$A$2:$G$498,3,FALSE),"n/a"))</f>
        <v>0.35%</v>
      </c>
      <c r="U64" s="138" t="str">
        <f>IF(VLOOKUP($A64,[1]FE!$A$2:$G$498,4,FALSE)="N/A","n/a",IFERROR(VLOOKUP($A64,[1]FE!$A$2:$G$498,4,FALSE),"n/a"))</f>
        <v>1.38%</v>
      </c>
      <c r="V64" s="142" t="str">
        <f>IF(VLOOKUP($A64,[1]FE!$A$2:$G$498,5,FALSE)="N/A","n/a",IFERROR(VLOOKUP($A64,[1]FE!$A$2:$G$498,5,FALSE),"n/a"))</f>
        <v>16.19%</v>
      </c>
      <c r="W64" s="138" t="str">
        <f>IF(VLOOKUP($A64,[1]FE!$A$2:$G$498,6,FALSE)="N/A","n/a",IFERROR(VLOOKUP($A64,[1]FE!$A$2:$G$498,6,FALSE),"n/a"))</f>
        <v>n/a</v>
      </c>
      <c r="X64" s="142" t="str">
        <f>IF(VLOOKUP($A64,[1]FE!$A$2:$G$498,7,FALSE)="N/A","n/a",IFERROR(VLOOKUP($A64,[1]FE!$A$2:$G$498,7,FALSE),"n/a"))</f>
        <v>n/a</v>
      </c>
    </row>
    <row r="65" spans="1:24" ht="18.75">
      <c r="A65" s="129" t="s">
        <v>350</v>
      </c>
      <c r="B65" s="130" t="s">
        <v>298</v>
      </c>
      <c r="C65" s="148" t="str">
        <f>VLOOKUP(A65,'[1]mFund List'!$A$2:$B$311,2,FALSE)</f>
        <v>Spheria Australian Microcap Fund</v>
      </c>
      <c r="D65" s="149"/>
      <c r="E65" s="116"/>
      <c r="F65" s="133" t="str">
        <f>_xlfn.IFNA(VLOOKUP(A65,'[1]mFund List'!$A$2:$I$200,6,FALSE),"n/a")</f>
        <v>1.10%</v>
      </c>
      <c r="G65" s="134">
        <f>_xlfn.IFNA(VLOOKUP(A65,'[1]mFund List'!$A$2:$J$200,8,FALSE)/1000000,"n/a")</f>
        <v>1.0910315767551999</v>
      </c>
      <c r="H65" s="135">
        <f>_xlfn.IFNA(VLOOKUP(A65,'[1]mFund List'!$A$2:$N$200,14,FALSE)/1000000,"n/a")</f>
        <v>5.450800737489981E-2</v>
      </c>
      <c r="I65" s="134">
        <f>_xlfn.IFNA(VLOOKUP(A65,'[1]mFund List'!$A$2:$R$200,18,FALSE)/1000000,"n/a")</f>
        <v>5.1978335603199817E-2</v>
      </c>
      <c r="J65" s="136">
        <f>_xlfn.IFNA(VLOOKUP(A65,[1]IRESS!$A$10:$F$875,5,FALSE),"n/a")</f>
        <v>107749.57</v>
      </c>
      <c r="K65" s="137">
        <f>_xlfn.IFNA(VLOOKUP(A65,[1]IRESS!$A$11:$G$684,7,FALSE),"n/a")</f>
        <v>38877.081999999995</v>
      </c>
      <c r="L65" s="136">
        <f>_xlfn.IFNA(VLOOKUP(A65,[1]IRESS!$A$10:$F$875,4,FALSE),"n/a")</f>
        <v>3</v>
      </c>
      <c r="M65" s="138">
        <f t="shared" si="0"/>
        <v>9.8759350595932674E-2</v>
      </c>
      <c r="N65" s="139" t="e">
        <f>VLOOKUP(A65,[1]Spreads!$A$1:$G$87,2,FALSE)</f>
        <v>#N/A</v>
      </c>
      <c r="O65" s="137" t="e">
        <f>VLOOKUP(A65,[1]Spreads!$A$1:$G$87,5,FALSE)/1000</f>
        <v>#N/A</v>
      </c>
      <c r="P65" s="140" t="e">
        <f>VLOOKUP(A65,[1]Spreads!$A$1:$G$87,6,FALSE)/1000</f>
        <v>#N/A</v>
      </c>
      <c r="R65" s="141">
        <f>_xlfn.IFNA(VLOOKUP($A65,[1]IRESS!$A$11:$AE$696,6,FALSE)/100,"n/a")</f>
        <v>2.7519999999999998</v>
      </c>
      <c r="S65" s="117"/>
      <c r="T65" s="142" t="str">
        <f>IF(VLOOKUP($A65,[1]FE!$A$2:$G$498,3,FALSE)="N/A","n/a",IFERROR(VLOOKUP($A65,[1]FE!$A$2:$G$498,3,FALSE),"n/a"))</f>
        <v>0.24%</v>
      </c>
      <c r="U65" s="138" t="str">
        <f>IF(VLOOKUP($A65,[1]FE!$A$2:$G$498,4,FALSE)="N/A","n/a",IFERROR(VLOOKUP($A65,[1]FE!$A$2:$G$498,4,FALSE),"n/a"))</f>
        <v>5.08%</v>
      </c>
      <c r="V65" s="142" t="str">
        <f>IF(VLOOKUP($A65,[1]FE!$A$2:$G$498,5,FALSE)="N/A","n/a",IFERROR(VLOOKUP($A65,[1]FE!$A$2:$G$498,5,FALSE),"n/a"))</f>
        <v>22.02%</v>
      </c>
      <c r="W65" s="138" t="str">
        <f>IF(VLOOKUP($A65,[1]FE!$A$2:$G$498,6,FALSE)="N/A","n/a",IFERROR(VLOOKUP($A65,[1]FE!$A$2:$G$498,6,FALSE),"n/a"))</f>
        <v>20.82%</v>
      </c>
      <c r="X65" s="142" t="str">
        <f>IF(VLOOKUP($A65,[1]FE!$A$2:$G$498,7,FALSE)="N/A","n/a",IFERROR(VLOOKUP($A65,[1]FE!$A$2:$G$498,7,FALSE),"n/a"))</f>
        <v>14.18%</v>
      </c>
    </row>
    <row r="66" spans="1:24" ht="18.75">
      <c r="A66" s="129" t="s">
        <v>351</v>
      </c>
      <c r="B66" s="130" t="s">
        <v>298</v>
      </c>
      <c r="C66" s="148" t="str">
        <f>VLOOKUP(A66,'[1]mFund List'!$A$2:$B$311,2,FALSE)</f>
        <v>Spheria Australian MidCap Fund</v>
      </c>
      <c r="D66" s="149"/>
      <c r="E66" s="116"/>
      <c r="F66" s="133" t="str">
        <f>_xlfn.IFNA(VLOOKUP(A66,'[1]mFund List'!$A$2:$I$200,6,FALSE),"n/a")</f>
        <v>0.99%</v>
      </c>
      <c r="G66" s="134">
        <f>_xlfn.IFNA(VLOOKUP(A66,'[1]mFund List'!$A$2:$J$200,8,FALSE)/1000000,"n/a")</f>
        <v>0.11040863225304</v>
      </c>
      <c r="H66" s="135">
        <f>_xlfn.IFNA(VLOOKUP(A66,'[1]mFund List'!$A$2:$N$200,14,FALSE)/1000000,"n/a")</f>
        <v>2.524281036011997E-2</v>
      </c>
      <c r="I66" s="134">
        <f>_xlfn.IFNA(VLOOKUP(A66,'[1]mFund List'!$A$2:$R$200,18,FALSE)/1000000,"n/a")</f>
        <v>2.4747023841199978E-2</v>
      </c>
      <c r="J66" s="136">
        <f>_xlfn.IFNA(VLOOKUP(A66,[1]IRESS!$A$10:$F$875,5,FALSE),"n/a")</f>
        <v>25000</v>
      </c>
      <c r="K66" s="137">
        <f>_xlfn.IFNA(VLOOKUP(A66,[1]IRESS!$A$11:$G$684,7,FALSE),"n/a")</f>
        <v>18601.190500000001</v>
      </c>
      <c r="L66" s="136">
        <f>_xlfn.IFNA(VLOOKUP(A66,[1]IRESS!$A$10:$F$875,4,FALSE),"n/a")</f>
        <v>1</v>
      </c>
      <c r="M66" s="138">
        <f t="shared" si="0"/>
        <v>0.22643157051981005</v>
      </c>
      <c r="N66" s="139" t="e">
        <f>VLOOKUP(A66,[1]Spreads!$A$1:$G$87,2,FALSE)</f>
        <v>#N/A</v>
      </c>
      <c r="O66" s="137" t="e">
        <f>VLOOKUP(A66,[1]Spreads!$A$1:$G$87,5,FALSE)/1000</f>
        <v>#N/A</v>
      </c>
      <c r="P66" s="140" t="e">
        <f>VLOOKUP(A66,[1]Spreads!$A$1:$G$87,6,FALSE)/1000</f>
        <v>#N/A</v>
      </c>
      <c r="R66" s="141">
        <f>_xlfn.IFNA(VLOOKUP($A66,[1]IRESS!$A$11:$AE$696,6,FALSE)/100,"n/a")</f>
        <v>1.3304</v>
      </c>
      <c r="S66" s="117"/>
      <c r="T66" s="142" t="str">
        <f>IF(VLOOKUP($A66,[1]FE!$A$2:$G$498,3,FALSE)="N/A","n/a",IFERROR(VLOOKUP($A66,[1]FE!$A$2:$G$498,3,FALSE),"n/a"))</f>
        <v>0.58%</v>
      </c>
      <c r="U66" s="138" t="str">
        <f>IF(VLOOKUP($A66,[1]FE!$A$2:$G$498,4,FALSE)="N/A","n/a",IFERROR(VLOOKUP($A66,[1]FE!$A$2:$G$498,4,FALSE),"n/a"))</f>
        <v>6.87%</v>
      </c>
      <c r="V66" s="142" t="str">
        <f>IF(VLOOKUP($A66,[1]FE!$A$2:$G$498,5,FALSE)="N/A","n/a",IFERROR(VLOOKUP($A66,[1]FE!$A$2:$G$498,5,FALSE),"n/a"))</f>
        <v>22.26%</v>
      </c>
      <c r="W66" s="138" t="str">
        <f>IF(VLOOKUP($A66,[1]FE!$A$2:$G$498,6,FALSE)="N/A","n/a",IFERROR(VLOOKUP($A66,[1]FE!$A$2:$G$498,6,FALSE),"n/a"))</f>
        <v>14.70%</v>
      </c>
      <c r="X66" s="142" t="str">
        <f>IF(VLOOKUP($A66,[1]FE!$A$2:$G$498,7,FALSE)="N/A","n/a",IFERROR(VLOOKUP($A66,[1]FE!$A$2:$G$498,7,FALSE),"n/a"))</f>
        <v>13.64%</v>
      </c>
    </row>
    <row r="67" spans="1:24" ht="18.75">
      <c r="A67" s="129" t="s">
        <v>352</v>
      </c>
      <c r="B67" s="130" t="s">
        <v>298</v>
      </c>
      <c r="C67" s="148" t="str">
        <f>VLOOKUP(A67,'[1]mFund List'!$A$2:$B$311,2,FALSE)</f>
        <v>UBS Australian Small Companies Fund</v>
      </c>
      <c r="D67" s="149"/>
      <c r="E67" s="116"/>
      <c r="F67" s="133" t="str">
        <f>_xlfn.IFNA(VLOOKUP(A67,'[1]mFund List'!$A$2:$I$200,6,FALSE),"n/a")</f>
        <v>0.85%</v>
      </c>
      <c r="G67" s="134">
        <f>_xlfn.IFNA(VLOOKUP(A67,'[1]mFund List'!$A$2:$J$200,8,FALSE)/1000000,"n/a")</f>
        <v>8.9075499385393986</v>
      </c>
      <c r="H67" s="135">
        <f>_xlfn.IFNA(VLOOKUP(A67,'[1]mFund List'!$A$2:$N$200,14,FALSE)/1000000,"n/a")</f>
        <v>0.60206679469037805</v>
      </c>
      <c r="I67" s="134">
        <f>_xlfn.IFNA(VLOOKUP(A67,'[1]mFund List'!$A$2:$R$200,18,FALSE)/1000000,"n/a")</f>
        <v>0.45985249093420005</v>
      </c>
      <c r="J67" s="136">
        <f>_xlfn.IFNA(VLOOKUP(A67,[1]IRESS!$A$10:$F$875,5,FALSE),"n/a")</f>
        <v>473532.81</v>
      </c>
      <c r="K67" s="137">
        <f>_xlfn.IFNA(VLOOKUP(A67,[1]IRESS!$A$11:$G$684,7,FALSE),"n/a")</f>
        <v>233489.91</v>
      </c>
      <c r="L67" s="136">
        <f>_xlfn.IFNA(VLOOKUP(A67,[1]IRESS!$A$10:$F$875,4,FALSE),"n/a")</f>
        <v>21</v>
      </c>
      <c r="M67" s="138">
        <f t="shared" si="0"/>
        <v>5.3160836960477013E-2</v>
      </c>
      <c r="N67" s="139" t="e">
        <f>VLOOKUP(A67,[1]Spreads!$A$1:$G$87,2,FALSE)</f>
        <v>#N/A</v>
      </c>
      <c r="O67" s="137" t="e">
        <f>VLOOKUP(A67,[1]Spreads!$A$1:$G$87,5,FALSE)/1000</f>
        <v>#N/A</v>
      </c>
      <c r="P67" s="140" t="e">
        <f>VLOOKUP(A67,[1]Spreads!$A$1:$G$87,6,FALSE)/1000</f>
        <v>#N/A</v>
      </c>
      <c r="R67" s="141">
        <f>_xlfn.IFNA(VLOOKUP($A67,[1]IRESS!$A$11:$AE$696,6,FALSE)/100,"n/a")</f>
        <v>2.0137</v>
      </c>
      <c r="S67" s="117"/>
      <c r="T67" s="142" t="str">
        <f>IF(VLOOKUP($A67,[1]FE!$A$2:$G$498,3,FALSE)="N/A","n/a",IFERROR(VLOOKUP($A67,[1]FE!$A$2:$G$498,3,FALSE),"n/a"))</f>
        <v>0.73%</v>
      </c>
      <c r="U67" s="138" t="str">
        <f>IF(VLOOKUP($A67,[1]FE!$A$2:$G$498,4,FALSE)="N/A","n/a",IFERROR(VLOOKUP($A67,[1]FE!$A$2:$G$498,4,FALSE),"n/a"))</f>
        <v>7.18%</v>
      </c>
      <c r="V67" s="142" t="str">
        <f>IF(VLOOKUP($A67,[1]FE!$A$2:$G$498,5,FALSE)="N/A","n/a",IFERROR(VLOOKUP($A67,[1]FE!$A$2:$G$498,5,FALSE),"n/a"))</f>
        <v>26.90%</v>
      </c>
      <c r="W67" s="138" t="str">
        <f>IF(VLOOKUP($A67,[1]FE!$A$2:$G$498,6,FALSE)="N/A","n/a",IFERROR(VLOOKUP($A67,[1]FE!$A$2:$G$498,6,FALSE),"n/a"))</f>
        <v>16.83%</v>
      </c>
      <c r="X67" s="142" t="str">
        <f>IF(VLOOKUP($A67,[1]FE!$A$2:$G$498,7,FALSE)="N/A","n/a",IFERROR(VLOOKUP($A67,[1]FE!$A$2:$G$498,7,FALSE),"n/a"))</f>
        <v>16.42%</v>
      </c>
    </row>
    <row r="68" spans="1:24" ht="18.75">
      <c r="A68" s="129" t="s">
        <v>353</v>
      </c>
      <c r="B68" s="130" t="s">
        <v>298</v>
      </c>
      <c r="C68" s="148" t="str">
        <f>VLOOKUP(A68,'[1]mFund List'!$A$2:$B$311,2,FALSE)</f>
        <v>UBS Microcap Fund</v>
      </c>
      <c r="D68" s="149"/>
      <c r="E68" s="116"/>
      <c r="F68" s="133" t="str">
        <f>_xlfn.IFNA(VLOOKUP(A68,'[1]mFund List'!$A$2:$I$200,6,FALSE),"n/a")</f>
        <v>1.20%</v>
      </c>
      <c r="G68" s="134">
        <f>_xlfn.IFNA(VLOOKUP(A68,'[1]mFund List'!$A$2:$J$200,8,FALSE)/1000000,"n/a")</f>
        <v>1.0933844604873999</v>
      </c>
      <c r="H68" s="135">
        <f>_xlfn.IFNA(VLOOKUP(A68,'[1]mFund List'!$A$2:$N$200,14,FALSE)/1000000,"n/a")</f>
        <v>0.11819664404179982</v>
      </c>
      <c r="I68" s="134">
        <f>_xlfn.IFNA(VLOOKUP(A68,'[1]mFund List'!$A$2:$R$200,18,FALSE)/1000000,"n/a")</f>
        <v>7.9488427789699903E-2</v>
      </c>
      <c r="J68" s="136">
        <f>_xlfn.IFNA(VLOOKUP(A68,[1]IRESS!$A$10:$F$875,5,FALSE),"n/a")</f>
        <v>79375</v>
      </c>
      <c r="K68" s="137">
        <f>_xlfn.IFNA(VLOOKUP(A68,[1]IRESS!$A$11:$G$684,7,FALSE),"n/a")</f>
        <v>46190.032999999996</v>
      </c>
      <c r="L68" s="136">
        <f>_xlfn.IFNA(VLOOKUP(A68,[1]IRESS!$A$10:$F$875,4,FALSE),"n/a")</f>
        <v>3</v>
      </c>
      <c r="M68" s="138">
        <f t="shared" si="0"/>
        <v>7.2595690599642201E-2</v>
      </c>
      <c r="N68" s="139" t="e">
        <f>VLOOKUP(A68,[1]Spreads!$A$1:$G$87,2,FALSE)</f>
        <v>#N/A</v>
      </c>
      <c r="O68" s="137" t="e">
        <f>VLOOKUP(A68,[1]Spreads!$A$1:$G$87,5,FALSE)/1000</f>
        <v>#N/A</v>
      </c>
      <c r="P68" s="140" t="e">
        <f>VLOOKUP(A68,[1]Spreads!$A$1:$G$87,6,FALSE)/1000</f>
        <v>#N/A</v>
      </c>
      <c r="R68" s="141">
        <f>_xlfn.IFNA(VLOOKUP($A68,[1]IRESS!$A$11:$AE$696,6,FALSE)/100,"n/a")</f>
        <v>1.7209000000000001</v>
      </c>
      <c r="S68" s="117"/>
      <c r="T68" s="142" t="str">
        <f>IF(VLOOKUP($A68,[1]FE!$A$2:$G$498,3,FALSE)="N/A","n/a",IFERROR(VLOOKUP($A68,[1]FE!$A$2:$G$498,3,FALSE),"n/a"))</f>
        <v>3.23%</v>
      </c>
      <c r="U68" s="138" t="str">
        <f>IF(VLOOKUP($A68,[1]FE!$A$2:$G$498,4,FALSE)="N/A","n/a",IFERROR(VLOOKUP($A68,[1]FE!$A$2:$G$498,4,FALSE),"n/a"))</f>
        <v>5.90%</v>
      </c>
      <c r="V68" s="142" t="str">
        <f>IF(VLOOKUP($A68,[1]FE!$A$2:$G$498,5,FALSE)="N/A","n/a",IFERROR(VLOOKUP($A68,[1]FE!$A$2:$G$498,5,FALSE),"n/a"))</f>
        <v>21.35%</v>
      </c>
      <c r="W68" s="138" t="str">
        <f>IF(VLOOKUP($A68,[1]FE!$A$2:$G$498,6,FALSE)="N/A","n/a",IFERROR(VLOOKUP($A68,[1]FE!$A$2:$G$498,6,FALSE),"n/a"))</f>
        <v>17.05%</v>
      </c>
      <c r="X68" s="142" t="str">
        <f>IF(VLOOKUP($A68,[1]FE!$A$2:$G$498,7,FALSE)="N/A","n/a",IFERROR(VLOOKUP($A68,[1]FE!$A$2:$G$498,7,FALSE),"n/a"))</f>
        <v>n/a</v>
      </c>
    </row>
    <row r="69" spans="1:24" s="128" customFormat="1" ht="18.75">
      <c r="A69" s="123" t="s">
        <v>79</v>
      </c>
      <c r="B69" s="124"/>
      <c r="C69" s="124"/>
      <c r="D69" s="124"/>
      <c r="E69" s="116"/>
      <c r="F69" s="143"/>
      <c r="G69" s="144"/>
      <c r="H69" s="144"/>
      <c r="I69" s="144"/>
      <c r="J69" s="145"/>
      <c r="K69" s="145"/>
      <c r="L69" s="145"/>
      <c r="M69" s="146"/>
      <c r="N69" s="146"/>
      <c r="O69" s="145"/>
      <c r="P69" s="145"/>
      <c r="Q69" s="7"/>
      <c r="R69" s="147"/>
      <c r="S69" s="117"/>
      <c r="T69" s="125"/>
      <c r="U69" s="125"/>
      <c r="V69" s="125"/>
      <c r="W69" s="125"/>
      <c r="X69" s="125"/>
    </row>
    <row r="70" spans="1:24" ht="18.75">
      <c r="A70" s="151" t="s">
        <v>354</v>
      </c>
      <c r="B70" s="130" t="s">
        <v>298</v>
      </c>
      <c r="C70" s="148" t="str">
        <f>VLOOKUP(A70,'[1]mFund List'!$A$2:$B$311,2,FALSE)</f>
        <v>Australian Ethical Advocacy Wholesale</v>
      </c>
      <c r="D70" s="149"/>
      <c r="E70" s="116"/>
      <c r="F70" s="133" t="str">
        <f>_xlfn.IFNA(VLOOKUP(A70,'[1]mFund List'!$A$2:$I$200,6,FALSE),"n/a")</f>
        <v>0.95%</v>
      </c>
      <c r="G70" s="134">
        <f>_xlfn.IFNA(VLOOKUP(A70,'[1]mFund List'!$A$2:$J$200,8,FALSE)/1000000,"n/a")</f>
        <v>0.51237863626791869</v>
      </c>
      <c r="H70" s="135">
        <f>_xlfn.IFNA(VLOOKUP(A70,'[1]mFund List'!$A$2:$N$200,14,FALSE)/1000000,"n/a")</f>
        <v>2.3482617860229746E-2</v>
      </c>
      <c r="I70" s="134">
        <f>_xlfn.IFNA(VLOOKUP(A70,'[1]mFund List'!$A$2:$R$200,18,FALSE)/1000000,"n/a")</f>
        <v>1.213451032637726E-2</v>
      </c>
      <c r="J70" s="136">
        <f>_xlfn.IFNA(VLOOKUP(A70,[1]IRESS!$A$10:$F$875,5,FALSE),"n/a")</f>
        <v>12000</v>
      </c>
      <c r="K70" s="137">
        <f>_xlfn.IFNA(VLOOKUP(A70,[1]IRESS!$A$11:$G$684,7,FALSE),"n/a")</f>
        <v>7162.0411999999997</v>
      </c>
      <c r="L70" s="136">
        <f>_xlfn.IFNA(VLOOKUP(A70,[1]IRESS!$A$10:$F$875,4,FALSE),"n/a")</f>
        <v>1</v>
      </c>
      <c r="M70" s="138">
        <f t="shared" si="0"/>
        <v>2.3420180215564836E-2</v>
      </c>
      <c r="N70" s="139" t="e">
        <f>VLOOKUP(A70,[1]Spreads!$A$1:$G$87,2,FALSE)</f>
        <v>#N/A</v>
      </c>
      <c r="O70" s="137" t="e">
        <f>VLOOKUP(A70,[1]Spreads!$A$1:$G$87,5,FALSE)/1000</f>
        <v>#N/A</v>
      </c>
      <c r="P70" s="140" t="e">
        <f>VLOOKUP(A70,[1]Spreads!$A$1:$G$87,6,FALSE)/1000</f>
        <v>#N/A</v>
      </c>
      <c r="R70" s="141">
        <f>_xlfn.IFNA(VLOOKUP($A70,[1]IRESS!$A$11:$AE$696,6,FALSE)/100,"n/a")</f>
        <v>1.6942809999999999</v>
      </c>
      <c r="S70" s="117"/>
      <c r="T70" s="142" t="str">
        <f>IF(VLOOKUP($A70,[1]FE!$A$2:$G$498,3,FALSE)="N/A","n/a",IFERROR(VLOOKUP($A70,[1]FE!$A$2:$G$498,3,FALSE),"n/a"))</f>
        <v>2.33%</v>
      </c>
      <c r="U70" s="138" t="str">
        <f>IF(VLOOKUP($A70,[1]FE!$A$2:$G$498,4,FALSE)="N/A","n/a",IFERROR(VLOOKUP($A70,[1]FE!$A$2:$G$498,4,FALSE),"n/a"))</f>
        <v>5.11%</v>
      </c>
      <c r="V70" s="142" t="str">
        <f>IF(VLOOKUP($A70,[1]FE!$A$2:$G$498,5,FALSE)="N/A","n/a",IFERROR(VLOOKUP($A70,[1]FE!$A$2:$G$498,5,FALSE),"n/a"))</f>
        <v>10.28%</v>
      </c>
      <c r="W70" s="138" t="str">
        <f>IF(VLOOKUP($A70,[1]FE!$A$2:$G$498,6,FALSE)="N/A","n/a",IFERROR(VLOOKUP($A70,[1]FE!$A$2:$G$498,6,FALSE),"n/a"))</f>
        <v>9.48%</v>
      </c>
      <c r="X70" s="142" t="str">
        <f>IF(VLOOKUP($A70,[1]FE!$A$2:$G$498,7,FALSE)="N/A","n/a",IFERROR(VLOOKUP($A70,[1]FE!$A$2:$G$498,7,FALSE),"n/a"))</f>
        <v>12.89%</v>
      </c>
    </row>
    <row r="71" spans="1:24" ht="18.75">
      <c r="A71" s="151" t="s">
        <v>355</v>
      </c>
      <c r="B71" s="130" t="s">
        <v>298</v>
      </c>
      <c r="C71" s="148" t="str">
        <f>VLOOKUP(A71,'[1]mFund List'!$A$2:$B$311,2,FALSE)</f>
        <v>Australian Ethical International Shares Wholesale</v>
      </c>
      <c r="D71" s="149"/>
      <c r="E71" s="116"/>
      <c r="F71" s="133" t="str">
        <f>_xlfn.IFNA(VLOOKUP(A71,'[1]mFund List'!$A$2:$I$200,6,FALSE),"n/a")</f>
        <v>0.85%</v>
      </c>
      <c r="G71" s="134">
        <f>_xlfn.IFNA(VLOOKUP(A71,'[1]mFund List'!$A$2:$J$200,8,FALSE)/1000000,"n/a")</f>
        <v>2.3101876786925373</v>
      </c>
      <c r="H71" s="135">
        <f>_xlfn.IFNA(VLOOKUP(A71,'[1]mFund List'!$A$2:$N$200,14,FALSE)/1000000,"n/a")</f>
        <v>4.2254914434743114E-2</v>
      </c>
      <c r="I71" s="134">
        <f>_xlfn.IFNA(VLOOKUP(A71,'[1]mFund List'!$A$2:$R$200,18,FALSE)/1000000,"n/a")</f>
        <v>-3.7991928638310998E-3</v>
      </c>
      <c r="J71" s="136">
        <f>_xlfn.IFNA(VLOOKUP(A71,[1]IRESS!$A$10:$F$875,5,FALSE),"n/a")</f>
        <v>198000</v>
      </c>
      <c r="K71" s="137">
        <f>_xlfn.IFNA(VLOOKUP(A71,[1]IRESS!$A$11:$G$684,7,FALSE),"n/a")</f>
        <v>161208.13780000003</v>
      </c>
      <c r="L71" s="136">
        <f>_xlfn.IFNA(VLOOKUP(A71,[1]IRESS!$A$10:$F$875,4,FALSE),"n/a")</f>
        <v>6</v>
      </c>
      <c r="M71" s="138">
        <f t="shared" si="0"/>
        <v>8.5707322321128099E-2</v>
      </c>
      <c r="N71" s="139" t="e">
        <f>VLOOKUP(A71,[1]Spreads!$A$1:$G$87,2,FALSE)</f>
        <v>#N/A</v>
      </c>
      <c r="O71" s="137" t="e">
        <f>VLOOKUP(A71,[1]Spreads!$A$1:$G$87,5,FALSE)/1000</f>
        <v>#N/A</v>
      </c>
      <c r="P71" s="140" t="e">
        <f>VLOOKUP(A71,[1]Spreads!$A$1:$G$87,6,FALSE)/1000</f>
        <v>#N/A</v>
      </c>
      <c r="R71" s="141">
        <f>_xlfn.IFNA(VLOOKUP($A71,[1]IRESS!$A$11:$AE$696,6,FALSE)/100,"n/a")</f>
        <v>1.2167319999999999</v>
      </c>
      <c r="S71" s="117"/>
      <c r="T71" s="142" t="str">
        <f>IF(VLOOKUP($A71,[1]FE!$A$2:$G$498,3,FALSE)="N/A","n/a",IFERROR(VLOOKUP($A71,[1]FE!$A$2:$G$498,3,FALSE),"n/a"))</f>
        <v>2.81%</v>
      </c>
      <c r="U71" s="138" t="str">
        <f>IF(VLOOKUP($A71,[1]FE!$A$2:$G$498,4,FALSE)="N/A","n/a",IFERROR(VLOOKUP($A71,[1]FE!$A$2:$G$498,4,FALSE),"n/a"))</f>
        <v>4.29%</v>
      </c>
      <c r="V71" s="142" t="str">
        <f>IF(VLOOKUP($A71,[1]FE!$A$2:$G$498,5,FALSE)="N/A","n/a",IFERROR(VLOOKUP($A71,[1]FE!$A$2:$G$498,5,FALSE),"n/a"))</f>
        <v>11.38%</v>
      </c>
      <c r="W71" s="138" t="str">
        <f>IF(VLOOKUP($A71,[1]FE!$A$2:$G$498,6,FALSE)="N/A","n/a",IFERROR(VLOOKUP($A71,[1]FE!$A$2:$G$498,6,FALSE),"n/a"))</f>
        <v>9.07%</v>
      </c>
      <c r="X71" s="142" t="str">
        <f>IF(VLOOKUP($A71,[1]FE!$A$2:$G$498,7,FALSE)="N/A","n/a",IFERROR(VLOOKUP($A71,[1]FE!$A$2:$G$498,7,FALSE),"n/a"))</f>
        <v>n/a</v>
      </c>
    </row>
    <row r="72" spans="1:24" ht="18.75">
      <c r="A72" s="151" t="s">
        <v>356</v>
      </c>
      <c r="B72" s="130" t="s">
        <v>298</v>
      </c>
      <c r="C72" s="148" t="str">
        <f>VLOOKUP(A72,'[1]mFund List'!$A$2:$B$311,2,FALSE)</f>
        <v>Australian Ethical Diversified Shares Wholesale</v>
      </c>
      <c r="D72" s="149"/>
      <c r="E72" s="116"/>
      <c r="F72" s="133" t="str">
        <f>_xlfn.IFNA(VLOOKUP(A72,'[1]mFund List'!$A$2:$I$200,6,FALSE),"n/a")</f>
        <v>0.95%</v>
      </c>
      <c r="G72" s="134">
        <f>_xlfn.IFNA(VLOOKUP(A72,'[1]mFund List'!$A$2:$J$200,8,FALSE)/1000000,"n/a")</f>
        <v>0.98044922766275433</v>
      </c>
      <c r="H72" s="135">
        <f>_xlfn.IFNA(VLOOKUP(A72,'[1]mFund List'!$A$2:$N$200,14,FALSE)/1000000,"n/a")</f>
        <v>2.2278829255336315E-2</v>
      </c>
      <c r="I72" s="134">
        <f>_xlfn.IFNA(VLOOKUP(A72,'[1]mFund List'!$A$2:$R$200,18,FALSE)/1000000,"n/a")</f>
        <v>0</v>
      </c>
      <c r="J72" s="136" t="str">
        <f>_xlfn.IFNA(VLOOKUP(A72,[1]IRESS!$A$10:$F$875,5,FALSE),"n/a")</f>
        <v>0</v>
      </c>
      <c r="K72" s="137" t="str">
        <f>_xlfn.IFNA(VLOOKUP(A72,[1]IRESS!$A$11:$G$684,7,FALSE),"n/a")</f>
        <v>0</v>
      </c>
      <c r="L72" s="136" t="str">
        <f>_xlfn.IFNA(VLOOKUP(A72,[1]IRESS!$A$10:$F$875,4,FALSE),"n/a")</f>
        <v>0</v>
      </c>
      <c r="M72" s="138">
        <f t="shared" si="0"/>
        <v>0</v>
      </c>
      <c r="N72" s="139" t="e">
        <f>VLOOKUP(A72,[1]Spreads!$A$1:$G$87,2,FALSE)</f>
        <v>#N/A</v>
      </c>
      <c r="O72" s="137" t="e">
        <f>VLOOKUP(A72,[1]Spreads!$A$1:$G$87,5,FALSE)/1000</f>
        <v>#N/A</v>
      </c>
      <c r="P72" s="140" t="e">
        <f>VLOOKUP(A72,[1]Spreads!$A$1:$G$87,6,FALSE)/1000</f>
        <v>#N/A</v>
      </c>
      <c r="R72" s="141">
        <f>_xlfn.IFNA(VLOOKUP($A72,[1]IRESS!$A$11:$AE$696,6,FALSE)/100,"n/a")</f>
        <v>2.6689159999999998</v>
      </c>
      <c r="S72" s="117"/>
      <c r="T72" s="142" t="str">
        <f>IF(VLOOKUP($A72,[1]FE!$A$2:$G$498,3,FALSE)="N/A","n/a",IFERROR(VLOOKUP($A72,[1]FE!$A$2:$G$498,3,FALSE),"n/a"))</f>
        <v>2.32%</v>
      </c>
      <c r="U72" s="138" t="str">
        <f>IF(VLOOKUP($A72,[1]FE!$A$2:$G$498,4,FALSE)="N/A","n/a",IFERROR(VLOOKUP($A72,[1]FE!$A$2:$G$498,4,FALSE),"n/a"))</f>
        <v>5.12%</v>
      </c>
      <c r="V72" s="142" t="str">
        <f>IF(VLOOKUP($A72,[1]FE!$A$2:$G$498,5,FALSE)="N/A","n/a",IFERROR(VLOOKUP($A72,[1]FE!$A$2:$G$498,5,FALSE),"n/a"))</f>
        <v>10.28%</v>
      </c>
      <c r="W72" s="138" t="str">
        <f>IF(VLOOKUP($A72,[1]FE!$A$2:$G$498,6,FALSE)="N/A","n/a",IFERROR(VLOOKUP($A72,[1]FE!$A$2:$G$498,6,FALSE),"n/a"))</f>
        <v>9.54%</v>
      </c>
      <c r="X72" s="142" t="str">
        <f>IF(VLOOKUP($A72,[1]FE!$A$2:$G$498,7,FALSE)="N/A","n/a",IFERROR(VLOOKUP($A72,[1]FE!$A$2:$G$498,7,FALSE),"n/a"))</f>
        <v>12.77%</v>
      </c>
    </row>
    <row r="73" spans="1:24" ht="18.75">
      <c r="A73" s="151" t="s">
        <v>357</v>
      </c>
      <c r="B73" s="130" t="s">
        <v>298</v>
      </c>
      <c r="C73" s="148" t="str">
        <f>VLOOKUP(A73,'[1]mFund List'!$A$2:$B$311,2,FALSE)</f>
        <v>Aberdeen International Equity</v>
      </c>
      <c r="D73" s="149"/>
      <c r="E73" s="116"/>
      <c r="F73" s="133" t="str">
        <f>_xlfn.IFNA(VLOOKUP(A73,'[1]mFund List'!$A$2:$I$200,6,FALSE),"n/a")</f>
        <v>0.98%</v>
      </c>
      <c r="G73" s="134">
        <f>_xlfn.IFNA(VLOOKUP(A73,'[1]mFund List'!$A$2:$J$200,8,FALSE)/1000000,"n/a")</f>
        <v>0.96745519159103111</v>
      </c>
      <c r="H73" s="135">
        <f>_xlfn.IFNA(VLOOKUP(A73,'[1]mFund List'!$A$2:$N$200,14,FALSE)/1000000,"n/a")</f>
        <v>-3.5162957702130897E-2</v>
      </c>
      <c r="I73" s="134">
        <f>_xlfn.IFNA(VLOOKUP(A73,'[1]mFund List'!$A$2:$R$200,18,FALSE)/1000000,"n/a")</f>
        <v>-5.552661222205682E-2</v>
      </c>
      <c r="J73" s="136">
        <f>_xlfn.IFNA(VLOOKUP(A73,[1]IRESS!$A$10:$F$875,5,FALSE),"n/a")</f>
        <v>54421.29</v>
      </c>
      <c r="K73" s="137">
        <f>_xlfn.IFNA(VLOOKUP(A73,[1]IRESS!$A$11:$G$684,7,FALSE),"n/a")</f>
        <v>70402.703464000006</v>
      </c>
      <c r="L73" s="136">
        <f>_xlfn.IFNA(VLOOKUP(A73,[1]IRESS!$A$10:$F$875,4,FALSE),"n/a")</f>
        <v>1</v>
      </c>
      <c r="M73" s="138">
        <f t="shared" si="0"/>
        <v>5.6252000581547675E-2</v>
      </c>
      <c r="N73" s="139" t="e">
        <f>VLOOKUP(A73,[1]Spreads!$A$1:$G$87,2,FALSE)</f>
        <v>#N/A</v>
      </c>
      <c r="O73" s="137" t="e">
        <f>VLOOKUP(A73,[1]Spreads!$A$1:$G$87,5,FALSE)/1000</f>
        <v>#N/A</v>
      </c>
      <c r="P73" s="140" t="e">
        <f>VLOOKUP(A73,[1]Spreads!$A$1:$G$87,6,FALSE)/1000</f>
        <v>#N/A</v>
      </c>
      <c r="R73" s="141">
        <f>_xlfn.IFNA(VLOOKUP($A73,[1]IRESS!$A$11:$AE$696,6,FALSE)/100,"n/a")</f>
        <v>0.78870000000000007</v>
      </c>
      <c r="S73" s="117"/>
      <c r="T73" s="142" t="str">
        <f>IF(VLOOKUP($A73,[1]FE!$A$2:$G$498,3,FALSE)="N/A","n/a",IFERROR(VLOOKUP($A73,[1]FE!$A$2:$G$498,3,FALSE),"n/a"))</f>
        <v>2.03%</v>
      </c>
      <c r="U73" s="138" t="str">
        <f>IF(VLOOKUP($A73,[1]FE!$A$2:$G$498,4,FALSE)="N/A","n/a",IFERROR(VLOOKUP($A73,[1]FE!$A$2:$G$498,4,FALSE),"n/a"))</f>
        <v>1.98%</v>
      </c>
      <c r="V73" s="142" t="str">
        <f>IF(VLOOKUP($A73,[1]FE!$A$2:$G$498,5,FALSE)="N/A","n/a",IFERROR(VLOOKUP($A73,[1]FE!$A$2:$G$498,5,FALSE),"n/a"))</f>
        <v>9.28%</v>
      </c>
      <c r="W73" s="138" t="str">
        <f>IF(VLOOKUP($A73,[1]FE!$A$2:$G$498,6,FALSE)="N/A","n/a",IFERROR(VLOOKUP($A73,[1]FE!$A$2:$G$498,6,FALSE),"n/a"))</f>
        <v>6.50%</v>
      </c>
      <c r="X73" s="142" t="str">
        <f>IF(VLOOKUP($A73,[1]FE!$A$2:$G$498,7,FALSE)="N/A","n/a",IFERROR(VLOOKUP($A73,[1]FE!$A$2:$G$498,7,FALSE),"n/a"))</f>
        <v>9.47%</v>
      </c>
    </row>
    <row r="74" spans="1:24" ht="18.75">
      <c r="A74" s="151" t="s">
        <v>358</v>
      </c>
      <c r="B74" s="130" t="s">
        <v>298</v>
      </c>
      <c r="C74" s="148" t="str">
        <f>VLOOKUP(A74,'[1]mFund List'!$A$2:$B$311,2,FALSE)</f>
        <v>Aberdeen Actively Hedged International Equities Fund</v>
      </c>
      <c r="D74" s="149"/>
      <c r="E74" s="116"/>
      <c r="F74" s="133" t="str">
        <f>_xlfn.IFNA(VLOOKUP(A74,'[1]mFund List'!$A$2:$I$200,6,FALSE),"n/a")</f>
        <v>0.98%</v>
      </c>
      <c r="G74" s="134">
        <f>_xlfn.IFNA(VLOOKUP(A74,'[1]mFund List'!$A$2:$J$200,8,FALSE)/1000000,"n/a")</f>
        <v>1.245035990181</v>
      </c>
      <c r="H74" s="135">
        <f>_xlfn.IFNA(VLOOKUP(A74,'[1]mFund List'!$A$2:$N$200,14,FALSE)/1000000,"n/a")</f>
        <v>2.3815340354999992E-2</v>
      </c>
      <c r="I74" s="134">
        <f>_xlfn.IFNA(VLOOKUP(A74,'[1]mFund List'!$A$2:$R$200,18,FALSE)/1000000,"n/a")</f>
        <v>0</v>
      </c>
      <c r="J74" s="136" t="str">
        <f>_xlfn.IFNA(VLOOKUP(A74,[1]IRESS!$A$10:$F$875,5,FALSE),"n/a")</f>
        <v>0</v>
      </c>
      <c r="K74" s="137" t="str">
        <f>_xlfn.IFNA(VLOOKUP(A74,[1]IRESS!$A$11:$G$684,7,FALSE),"n/a")</f>
        <v>0</v>
      </c>
      <c r="L74" s="136" t="str">
        <f>_xlfn.IFNA(VLOOKUP(A74,[1]IRESS!$A$10:$F$875,4,FALSE),"n/a")</f>
        <v>0</v>
      </c>
      <c r="M74" s="138">
        <f t="shared" si="0"/>
        <v>0</v>
      </c>
      <c r="N74" s="139" t="e">
        <f>VLOOKUP(A74,[1]Spreads!$A$1:$G$87,2,FALSE)</f>
        <v>#N/A</v>
      </c>
      <c r="O74" s="137" t="e">
        <f>VLOOKUP(A74,[1]Spreads!$A$1:$G$87,5,FALSE)/1000</f>
        <v>#N/A</v>
      </c>
      <c r="P74" s="140" t="e">
        <f>VLOOKUP(A74,[1]Spreads!$A$1:$G$87,6,FALSE)/1000</f>
        <v>#N/A</v>
      </c>
      <c r="R74" s="141">
        <f>_xlfn.IFNA(VLOOKUP($A74,[1]IRESS!$A$11:$AE$696,6,FALSE)/100,"n/a")</f>
        <v>3.3197000000000001</v>
      </c>
      <c r="S74" s="117"/>
      <c r="T74" s="142" t="str">
        <f>IF(VLOOKUP($A74,[1]FE!$A$2:$G$498,3,FALSE)="N/A","n/a",IFERROR(VLOOKUP($A74,[1]FE!$A$2:$G$498,3,FALSE),"n/a"))</f>
        <v>1.95%</v>
      </c>
      <c r="U74" s="138" t="str">
        <f>IF(VLOOKUP($A74,[1]FE!$A$2:$G$498,4,FALSE)="N/A","n/a",IFERROR(VLOOKUP($A74,[1]FE!$A$2:$G$498,4,FALSE),"n/a"))</f>
        <v>1.76%</v>
      </c>
      <c r="V74" s="142" t="str">
        <f>IF(VLOOKUP($A74,[1]FE!$A$2:$G$498,5,FALSE)="N/A","n/a",IFERROR(VLOOKUP($A74,[1]FE!$A$2:$G$498,5,FALSE),"n/a"))</f>
        <v>9.02%</v>
      </c>
      <c r="W74" s="138" t="str">
        <f>IF(VLOOKUP($A74,[1]FE!$A$2:$G$498,6,FALSE)="N/A","n/a",IFERROR(VLOOKUP($A74,[1]FE!$A$2:$G$498,6,FALSE),"n/a"))</f>
        <v>6.33%</v>
      </c>
      <c r="X74" s="142" t="str">
        <f>IF(VLOOKUP($A74,[1]FE!$A$2:$G$498,7,FALSE)="N/A","n/a",IFERROR(VLOOKUP($A74,[1]FE!$A$2:$G$498,7,FALSE),"n/a"))</f>
        <v>9.42%</v>
      </c>
    </row>
    <row r="75" spans="1:24" ht="18.75">
      <c r="A75" s="151" t="s">
        <v>359</v>
      </c>
      <c r="B75" s="130" t="s">
        <v>298</v>
      </c>
      <c r="C75" s="148" t="str">
        <f>VLOOKUP(A75,'[1]mFund List'!$A$2:$B$311,2,FALSE)</f>
        <v>Aberdeen Fully Hedged International Equities</v>
      </c>
      <c r="D75" s="149"/>
      <c r="E75" s="116"/>
      <c r="F75" s="133" t="str">
        <f>_xlfn.IFNA(VLOOKUP(A75,'[1]mFund List'!$A$2:$I$200,6,FALSE),"n/a")</f>
        <v>0.99%</v>
      </c>
      <c r="G75" s="134">
        <f>_xlfn.IFNA(VLOOKUP(A75,'[1]mFund List'!$A$2:$J$200,8,FALSE)/1000000,"n/a")</f>
        <v>0.498247977861</v>
      </c>
      <c r="H75" s="135">
        <f>_xlfn.IFNA(VLOOKUP(A75,'[1]mFund List'!$A$2:$N$200,14,FALSE)/1000000,"n/a")</f>
        <v>-4.7973038499994435E-4</v>
      </c>
      <c r="I75" s="134">
        <f>_xlfn.IFNA(VLOOKUP(A75,'[1]mFund List'!$A$2:$R$200,18,FALSE)/1000000,"n/a")</f>
        <v>0</v>
      </c>
      <c r="J75" s="136" t="str">
        <f>_xlfn.IFNA(VLOOKUP(A75,[1]IRESS!$A$10:$F$875,5,FALSE),"n/a")</f>
        <v>0</v>
      </c>
      <c r="K75" s="137" t="str">
        <f>_xlfn.IFNA(VLOOKUP(A75,[1]IRESS!$A$11:$G$684,7,FALSE),"n/a")</f>
        <v>0</v>
      </c>
      <c r="L75" s="136" t="str">
        <f>_xlfn.IFNA(VLOOKUP(A75,[1]IRESS!$A$10:$F$875,4,FALSE),"n/a")</f>
        <v>0</v>
      </c>
      <c r="M75" s="138">
        <f t="shared" si="0"/>
        <v>0</v>
      </c>
      <c r="N75" s="139" t="e">
        <f>VLOOKUP(A75,[1]Spreads!$A$1:$G$87,2,FALSE)</f>
        <v>#N/A</v>
      </c>
      <c r="O75" s="137" t="e">
        <f>VLOOKUP(A75,[1]Spreads!$A$1:$G$87,5,FALSE)/1000</f>
        <v>#N/A</v>
      </c>
      <c r="P75" s="140" t="e">
        <f>VLOOKUP(A75,[1]Spreads!$A$1:$G$87,6,FALSE)/1000</f>
        <v>#N/A</v>
      </c>
      <c r="R75" s="141">
        <f>_xlfn.IFNA(VLOOKUP($A75,[1]IRESS!$A$11:$AE$696,6,FALSE)/100,"n/a")</f>
        <v>0.51929999999999998</v>
      </c>
      <c r="S75" s="117"/>
      <c r="T75" s="142" t="str">
        <f>IF(VLOOKUP($A75,[1]FE!$A$2:$G$498,3,FALSE)="N/A","n/a",IFERROR(VLOOKUP($A75,[1]FE!$A$2:$G$498,3,FALSE),"n/a"))</f>
        <v>-0.10%</v>
      </c>
      <c r="U75" s="138" t="str">
        <f>IF(VLOOKUP($A75,[1]FE!$A$2:$G$498,4,FALSE)="N/A","n/a",IFERROR(VLOOKUP($A75,[1]FE!$A$2:$G$498,4,FALSE),"n/a"))</f>
        <v>-0.02%</v>
      </c>
      <c r="V75" s="142" t="str">
        <f>IF(VLOOKUP($A75,[1]FE!$A$2:$G$498,5,FALSE)="N/A","n/a",IFERROR(VLOOKUP($A75,[1]FE!$A$2:$G$498,5,FALSE),"n/a"))</f>
        <v>5.38%</v>
      </c>
      <c r="W75" s="138" t="str">
        <f>IF(VLOOKUP($A75,[1]FE!$A$2:$G$498,6,FALSE)="N/A","n/a",IFERROR(VLOOKUP($A75,[1]FE!$A$2:$G$498,6,FALSE),"n/a"))</f>
        <v>6.90%</v>
      </c>
      <c r="X75" s="142" t="str">
        <f>IF(VLOOKUP($A75,[1]FE!$A$2:$G$498,7,FALSE)="N/A","n/a",IFERROR(VLOOKUP($A75,[1]FE!$A$2:$G$498,7,FALSE),"n/a"))</f>
        <v>7.55%</v>
      </c>
    </row>
    <row r="76" spans="1:24" ht="18.75">
      <c r="A76" s="151" t="s">
        <v>360</v>
      </c>
      <c r="B76" s="130" t="s">
        <v>298</v>
      </c>
      <c r="C76" s="148" t="str">
        <f>VLOOKUP(A76,'[1]mFund List'!$A$2:$B$311,2,FALSE)</f>
        <v>Altrinsic Global Equities Trust</v>
      </c>
      <c r="D76" s="149"/>
      <c r="E76" s="116"/>
      <c r="F76" s="133" t="str">
        <f>_xlfn.IFNA(VLOOKUP(A76,'[1]mFund List'!$A$2:$I$200,6,FALSE),"n/a")</f>
        <v>1.25%</v>
      </c>
      <c r="G76" s="134">
        <f>_xlfn.IFNA(VLOOKUP(A76,'[1]mFund List'!$A$2:$J$200,8,FALSE)/1000000,"n/a")</f>
        <v>0.42991761422522878</v>
      </c>
      <c r="H76" s="135">
        <f>_xlfn.IFNA(VLOOKUP(A76,'[1]mFund List'!$A$2:$N$200,14,FALSE)/1000000,"n/a")</f>
        <v>1.0440536044844368E-2</v>
      </c>
      <c r="I76" s="134">
        <f>_xlfn.IFNA(VLOOKUP(A76,'[1]mFund List'!$A$2:$R$200,18,FALSE)/1000000,"n/a")</f>
        <v>0</v>
      </c>
      <c r="J76" s="136" t="str">
        <f>_xlfn.IFNA(VLOOKUP(A76,[1]IRESS!$A$10:$F$875,5,FALSE),"n/a")</f>
        <v>0</v>
      </c>
      <c r="K76" s="137" t="str">
        <f>_xlfn.IFNA(VLOOKUP(A76,[1]IRESS!$A$11:$G$684,7,FALSE),"n/a")</f>
        <v>0</v>
      </c>
      <c r="L76" s="136" t="str">
        <f>_xlfn.IFNA(VLOOKUP(A76,[1]IRESS!$A$10:$F$875,4,FALSE),"n/a")</f>
        <v>0</v>
      </c>
      <c r="M76" s="138">
        <f t="shared" si="0"/>
        <v>0</v>
      </c>
      <c r="N76" s="139" t="e">
        <f>VLOOKUP(A76,[1]Spreads!$A$1:$G$87,2,FALSE)</f>
        <v>#N/A</v>
      </c>
      <c r="O76" s="137" t="e">
        <f>VLOOKUP(A76,[1]Spreads!$A$1:$G$87,5,FALSE)/1000</f>
        <v>#N/A</v>
      </c>
      <c r="P76" s="140" t="e">
        <f>VLOOKUP(A76,[1]Spreads!$A$1:$G$87,6,FALSE)/1000</f>
        <v>#N/A</v>
      </c>
      <c r="R76" s="141">
        <f>_xlfn.IFNA(VLOOKUP($A76,[1]IRESS!$A$11:$AE$696,6,FALSE)/100,"n/a")</f>
        <v>1.603008</v>
      </c>
      <c r="S76" s="117"/>
      <c r="T76" s="142" t="str">
        <f>IF(VLOOKUP($A76,[1]FE!$A$2:$G$498,3,FALSE)="N/A","n/a",IFERROR(VLOOKUP($A76,[1]FE!$A$2:$G$498,3,FALSE),"n/a"))</f>
        <v>3.06%</v>
      </c>
      <c r="U76" s="138" t="str">
        <f>IF(VLOOKUP($A76,[1]FE!$A$2:$G$498,4,FALSE)="N/A","n/a",IFERROR(VLOOKUP($A76,[1]FE!$A$2:$G$498,4,FALSE),"n/a"))</f>
        <v>3.78%</v>
      </c>
      <c r="V76" s="142" t="str">
        <f>IF(VLOOKUP($A76,[1]FE!$A$2:$G$498,5,FALSE)="N/A","n/a",IFERROR(VLOOKUP($A76,[1]FE!$A$2:$G$498,5,FALSE),"n/a"))</f>
        <v>8.16%</v>
      </c>
      <c r="W76" s="138" t="str">
        <f>IF(VLOOKUP($A76,[1]FE!$A$2:$G$498,6,FALSE)="N/A","n/a",IFERROR(VLOOKUP($A76,[1]FE!$A$2:$G$498,6,FALSE),"n/a"))</f>
        <v>7.17%</v>
      </c>
      <c r="X76" s="142" t="str">
        <f>IF(VLOOKUP($A76,[1]FE!$A$2:$G$498,7,FALSE)="N/A","n/a",IFERROR(VLOOKUP($A76,[1]FE!$A$2:$G$498,7,FALSE),"n/a"))</f>
        <v>12.14%</v>
      </c>
    </row>
    <row r="77" spans="1:24" ht="18.75">
      <c r="A77" s="151" t="s">
        <v>361</v>
      </c>
      <c r="B77" s="130" t="s">
        <v>298</v>
      </c>
      <c r="C77" s="148" t="str">
        <f>VLOOKUP(A77,'[1]mFund List'!$A$2:$B$311,2,FALSE)</f>
        <v>Antipodes Global Long Only</v>
      </c>
      <c r="D77" s="149"/>
      <c r="E77" s="116"/>
      <c r="F77" s="133" t="str">
        <f>_xlfn.IFNA(VLOOKUP(A77,'[1]mFund List'!$A$2:$I$200,6,FALSE),"n/a")</f>
        <v>1.20%</v>
      </c>
      <c r="G77" s="134">
        <f>_xlfn.IFNA(VLOOKUP(A77,'[1]mFund List'!$A$2:$J$200,8,FALSE)/1000000,"n/a")</f>
        <v>5.4908296052992194</v>
      </c>
      <c r="H77" s="135">
        <f>_xlfn.IFNA(VLOOKUP(A77,'[1]mFund List'!$A$2:$N$200,14,FALSE)/1000000,"n/a")</f>
        <v>-0.10078741940444055</v>
      </c>
      <c r="I77" s="134">
        <f>_xlfn.IFNA(VLOOKUP(A77,'[1]mFund List'!$A$2:$R$200,18,FALSE)/1000000,"n/a")</f>
        <v>-0.23633625804119957</v>
      </c>
      <c r="J77" s="136">
        <f>_xlfn.IFNA(VLOOKUP(A77,[1]IRESS!$A$10:$F$875,5,FALSE),"n/a")</f>
        <v>379390.42999999993</v>
      </c>
      <c r="K77" s="137">
        <f>_xlfn.IFNA(VLOOKUP(A77,[1]IRESS!$A$11:$G$684,7,FALSE),"n/a")</f>
        <v>300488.85399999999</v>
      </c>
      <c r="L77" s="136">
        <f>_xlfn.IFNA(VLOOKUP(A77,[1]IRESS!$A$10:$F$875,4,FALSE),"n/a")</f>
        <v>8</v>
      </c>
      <c r="M77" s="138">
        <f t="shared" ref="M77:M140" si="1">+J77/(G77*1000000)</f>
        <v>6.9095283822657477E-2</v>
      </c>
      <c r="N77" s="139" t="e">
        <f>VLOOKUP(A77,[1]Spreads!$A$1:$G$87,2,FALSE)</f>
        <v>#N/A</v>
      </c>
      <c r="O77" s="137" t="e">
        <f>VLOOKUP(A77,[1]Spreads!$A$1:$G$87,5,FALSE)/1000</f>
        <v>#N/A</v>
      </c>
      <c r="P77" s="140" t="e">
        <f>VLOOKUP(A77,[1]Spreads!$A$1:$G$87,6,FALSE)/1000</f>
        <v>#N/A</v>
      </c>
      <c r="R77" s="141">
        <f>_xlfn.IFNA(VLOOKUP($A77,[1]IRESS!$A$11:$AE$696,6,FALSE)/100,"n/a")</f>
        <v>1.2590999999999999</v>
      </c>
      <c r="S77" s="117"/>
      <c r="T77" s="142" t="str">
        <f>IF(VLOOKUP($A77,[1]FE!$A$2:$G$498,3,FALSE)="N/A","n/a",IFERROR(VLOOKUP($A77,[1]FE!$A$2:$G$498,3,FALSE),"n/a"))</f>
        <v>2.42%</v>
      </c>
      <c r="U77" s="138" t="str">
        <f>IF(VLOOKUP($A77,[1]FE!$A$2:$G$498,4,FALSE)="N/A","n/a",IFERROR(VLOOKUP($A77,[1]FE!$A$2:$G$498,4,FALSE),"n/a"))</f>
        <v>3.38%</v>
      </c>
      <c r="V77" s="142" t="str">
        <f>IF(VLOOKUP($A77,[1]FE!$A$2:$G$498,5,FALSE)="N/A","n/a",IFERROR(VLOOKUP($A77,[1]FE!$A$2:$G$498,5,FALSE),"n/a"))</f>
        <v>17.53%</v>
      </c>
      <c r="W77" s="138" t="str">
        <f>IF(VLOOKUP($A77,[1]FE!$A$2:$G$498,6,FALSE)="N/A","n/a",IFERROR(VLOOKUP($A77,[1]FE!$A$2:$G$498,6,FALSE),"n/a"))</f>
        <v>n/a</v>
      </c>
      <c r="X77" s="142" t="str">
        <f>IF(VLOOKUP($A77,[1]FE!$A$2:$G$498,7,FALSE)="N/A","n/a",IFERROR(VLOOKUP($A77,[1]FE!$A$2:$G$498,7,FALSE),"n/a"))</f>
        <v>n/a</v>
      </c>
    </row>
    <row r="78" spans="1:24" ht="18.75">
      <c r="A78" s="151" t="s">
        <v>362</v>
      </c>
      <c r="B78" s="130" t="s">
        <v>298</v>
      </c>
      <c r="C78" s="148" t="str">
        <f>VLOOKUP(A78,'[1]mFund List'!$A$2:$B$311,2,FALSE)</f>
        <v>Antipodes Global Fund</v>
      </c>
      <c r="D78" s="149"/>
      <c r="E78" s="116"/>
      <c r="F78" s="133" t="str">
        <f>_xlfn.IFNA(VLOOKUP(A78,'[1]mFund List'!$A$2:$I$200,6,FALSE),"n/a")</f>
        <v>1.20%</v>
      </c>
      <c r="G78" s="134">
        <f>_xlfn.IFNA(VLOOKUP(A78,'[1]mFund List'!$A$2:$J$200,8,FALSE)/1000000,"n/a")</f>
        <v>6.4275700143908496</v>
      </c>
      <c r="H78" s="135">
        <f>_xlfn.IFNA(VLOOKUP(A78,'[1]mFund List'!$A$2:$N$200,14,FALSE)/1000000,"n/a")</f>
        <v>1.0724921461777297</v>
      </c>
      <c r="I78" s="134">
        <f>_xlfn.IFNA(VLOOKUP(A78,'[1]mFund List'!$A$2:$R$200,18,FALSE)/1000000,"n/a")</f>
        <v>0.93132084165804974</v>
      </c>
      <c r="J78" s="136">
        <f>_xlfn.IFNA(VLOOKUP(A78,[1]IRESS!$A$10:$F$875,5,FALSE),"n/a")</f>
        <v>782176.97</v>
      </c>
      <c r="K78" s="137">
        <f>_xlfn.IFNA(VLOOKUP(A78,[1]IRESS!$A$11:$G$684,7,FALSE),"n/a")</f>
        <v>431469.538</v>
      </c>
      <c r="L78" s="136">
        <f>_xlfn.IFNA(VLOOKUP(A78,[1]IRESS!$A$10:$F$875,4,FALSE),"n/a")</f>
        <v>22</v>
      </c>
      <c r="M78" s="138">
        <f t="shared" si="1"/>
        <v>0.12169092958128253</v>
      </c>
      <c r="N78" s="139" t="e">
        <f>VLOOKUP(A78,[1]Spreads!$A$1:$G$87,2,FALSE)</f>
        <v>#N/A</v>
      </c>
      <c r="O78" s="137" t="e">
        <f>VLOOKUP(A78,[1]Spreads!$A$1:$G$87,5,FALSE)/1000</f>
        <v>#N/A</v>
      </c>
      <c r="P78" s="140" t="e">
        <f>VLOOKUP(A78,[1]Spreads!$A$1:$G$87,6,FALSE)/1000</f>
        <v>#N/A</v>
      </c>
      <c r="R78" s="141">
        <f>_xlfn.IFNA(VLOOKUP($A78,[1]IRESS!$A$11:$AE$696,6,FALSE)/100,"n/a")</f>
        <v>1.8065</v>
      </c>
      <c r="S78" s="117"/>
      <c r="T78" s="142" t="str">
        <f>IF(VLOOKUP($A78,[1]FE!$A$2:$G$498,3,FALSE)="N/A","n/a",IFERROR(VLOOKUP($A78,[1]FE!$A$2:$G$498,3,FALSE),"n/a"))</f>
        <v>2.64%</v>
      </c>
      <c r="U78" s="138" t="str">
        <f>IF(VLOOKUP($A78,[1]FE!$A$2:$G$498,4,FALSE)="N/A","n/a",IFERROR(VLOOKUP($A78,[1]FE!$A$2:$G$498,4,FALSE),"n/a"))</f>
        <v>2.22%</v>
      </c>
      <c r="V78" s="142" t="str">
        <f>IF(VLOOKUP($A78,[1]FE!$A$2:$G$498,5,FALSE)="N/A","n/a",IFERROR(VLOOKUP($A78,[1]FE!$A$2:$G$498,5,FALSE),"n/a"))</f>
        <v>12.67%</v>
      </c>
      <c r="W78" s="138" t="str">
        <f>IF(VLOOKUP($A78,[1]FE!$A$2:$G$498,6,FALSE)="N/A","n/a",IFERROR(VLOOKUP($A78,[1]FE!$A$2:$G$498,6,FALSE),"n/a"))</f>
        <v>13.32%</v>
      </c>
      <c r="X78" s="142" t="str">
        <f>IF(VLOOKUP($A78,[1]FE!$A$2:$G$498,7,FALSE)="N/A","n/a",IFERROR(VLOOKUP($A78,[1]FE!$A$2:$G$498,7,FALSE),"n/a"))</f>
        <v>18.33%</v>
      </c>
    </row>
    <row r="79" spans="1:24" ht="18.75">
      <c r="A79" s="151" t="s">
        <v>363</v>
      </c>
      <c r="B79" s="130" t="s">
        <v>298</v>
      </c>
      <c r="C79" s="148" t="str">
        <f>VLOOKUP(A79,'[1]mFund List'!$A$2:$B$311,2,FALSE)</f>
        <v>Bell Global Equities Fund</v>
      </c>
      <c r="D79" s="149"/>
      <c r="E79" s="116"/>
      <c r="F79" s="133" t="str">
        <f>_xlfn.IFNA(VLOOKUP(A79,'[1]mFund List'!$A$2:$I$200,6,FALSE),"n/a")</f>
        <v>0.76%</v>
      </c>
      <c r="G79" s="134">
        <f>_xlfn.IFNA(VLOOKUP(A79,'[1]mFund List'!$A$2:$J$200,8,FALSE)/1000000,"n/a")</f>
        <v>1.57512020214412</v>
      </c>
      <c r="H79" s="135">
        <f>_xlfn.IFNA(VLOOKUP(A79,'[1]mFund List'!$A$2:$N$200,14,FALSE)/1000000,"n/a")</f>
        <v>0.27222236749836987</v>
      </c>
      <c r="I79" s="134">
        <f>_xlfn.IFNA(VLOOKUP(A79,'[1]mFund List'!$A$2:$R$200,18,FALSE)/1000000,"n/a")</f>
        <v>0.22321729252392</v>
      </c>
      <c r="J79" s="136">
        <f>_xlfn.IFNA(VLOOKUP(A79,[1]IRESS!$A$10:$F$875,5,FALSE),"n/a")</f>
        <v>222000</v>
      </c>
      <c r="K79" s="137">
        <f>_xlfn.IFNA(VLOOKUP(A79,[1]IRESS!$A$11:$G$684,7,FALSE),"n/a")</f>
        <v>154711.1814</v>
      </c>
      <c r="L79" s="136">
        <f>_xlfn.IFNA(VLOOKUP(A79,[1]IRESS!$A$10:$F$875,4,FALSE),"n/a")</f>
        <v>3</v>
      </c>
      <c r="M79" s="138">
        <f t="shared" si="1"/>
        <v>0.14094162445367933</v>
      </c>
      <c r="N79" s="139" t="e">
        <f>VLOOKUP(A79,[1]Spreads!$A$1:$G$87,2,FALSE)</f>
        <v>#N/A</v>
      </c>
      <c r="O79" s="137" t="e">
        <f>VLOOKUP(A79,[1]Spreads!$A$1:$G$87,5,FALSE)/1000</f>
        <v>#N/A</v>
      </c>
      <c r="P79" s="140" t="e">
        <f>VLOOKUP(A79,[1]Spreads!$A$1:$G$87,6,FALSE)/1000</f>
        <v>#N/A</v>
      </c>
      <c r="R79" s="141">
        <f>_xlfn.IFNA(VLOOKUP($A79,[1]IRESS!$A$11:$AE$696,6,FALSE)/100,"n/a")</f>
        <v>1.4428000000000001</v>
      </c>
      <c r="S79" s="117"/>
      <c r="T79" s="142" t="str">
        <f>IF(VLOOKUP($A79,[1]FE!$A$2:$G$498,3,FALSE)="N/A","n/a",IFERROR(VLOOKUP($A79,[1]FE!$A$2:$G$498,3,FALSE),"n/a"))</f>
        <v>3.76%</v>
      </c>
      <c r="U79" s="138" t="str">
        <f>IF(VLOOKUP($A79,[1]FE!$A$2:$G$498,4,FALSE)="N/A","n/a",IFERROR(VLOOKUP($A79,[1]FE!$A$2:$G$498,4,FALSE),"n/a"))</f>
        <v>6.87%</v>
      </c>
      <c r="V79" s="142" t="str">
        <f>IF(VLOOKUP($A79,[1]FE!$A$2:$G$498,5,FALSE)="N/A","n/a",IFERROR(VLOOKUP($A79,[1]FE!$A$2:$G$498,5,FALSE),"n/a"))</f>
        <v>15.52%</v>
      </c>
      <c r="W79" s="138" t="str">
        <f>IF(VLOOKUP($A79,[1]FE!$A$2:$G$498,6,FALSE)="N/A","n/a",IFERROR(VLOOKUP($A79,[1]FE!$A$2:$G$498,6,FALSE),"n/a"))</f>
        <v>9.50%</v>
      </c>
      <c r="X79" s="142" t="str">
        <f>IF(VLOOKUP($A79,[1]FE!$A$2:$G$498,7,FALSE)="N/A","n/a",IFERROR(VLOOKUP($A79,[1]FE!$A$2:$G$498,7,FALSE),"n/a"))</f>
        <v>14.12%</v>
      </c>
    </row>
    <row r="80" spans="1:24" ht="18.75">
      <c r="A80" s="151" t="s">
        <v>364</v>
      </c>
      <c r="B80" s="130" t="s">
        <v>298</v>
      </c>
      <c r="C80" s="148" t="str">
        <f>VLOOKUP(A80,'[1]mFund List'!$A$2:$B$311,2,FALSE)</f>
        <v>Bell Global Emerging Companies Fund</v>
      </c>
      <c r="D80" s="149"/>
      <c r="E80" s="116"/>
      <c r="F80" s="133" t="str">
        <f>_xlfn.IFNA(VLOOKUP(A80,'[1]mFund List'!$A$2:$I$200,6,FALSE),"n/a")</f>
        <v>1.25%</v>
      </c>
      <c r="G80" s="134">
        <f>_xlfn.IFNA(VLOOKUP(A80,'[1]mFund List'!$A$2:$J$200,8,FALSE)/1000000,"n/a")</f>
        <v>0.71319650388342004</v>
      </c>
      <c r="H80" s="135">
        <f>_xlfn.IFNA(VLOOKUP(A80,'[1]mFund List'!$A$2:$N$200,14,FALSE)/1000000,"n/a")</f>
        <v>4.2863470174379879E-2</v>
      </c>
      <c r="I80" s="134">
        <f>_xlfn.IFNA(VLOOKUP(A80,'[1]mFund List'!$A$2:$R$200,18,FALSE)/1000000,"n/a")</f>
        <v>1.5430575977489966E-2</v>
      </c>
      <c r="J80" s="136">
        <f>_xlfn.IFNA(VLOOKUP(A80,[1]IRESS!$A$10:$F$875,5,FALSE),"n/a")</f>
        <v>15000</v>
      </c>
      <c r="K80" s="137">
        <f>_xlfn.IFNA(VLOOKUP(A80,[1]IRESS!$A$11:$G$684,7,FALSE),"n/a")</f>
        <v>13756.4197</v>
      </c>
      <c r="L80" s="136">
        <f>_xlfn.IFNA(VLOOKUP(A80,[1]IRESS!$A$10:$F$875,4,FALSE),"n/a")</f>
        <v>1</v>
      </c>
      <c r="M80" s="138">
        <f t="shared" si="1"/>
        <v>2.1032071691775872E-2</v>
      </c>
      <c r="N80" s="139" t="e">
        <f>VLOOKUP(A80,[1]Spreads!$A$1:$G$87,2,FALSE)</f>
        <v>#N/A</v>
      </c>
      <c r="O80" s="137" t="e">
        <f>VLOOKUP(A80,[1]Spreads!$A$1:$G$87,5,FALSE)/1000</f>
        <v>#N/A</v>
      </c>
      <c r="P80" s="140" t="e">
        <f>VLOOKUP(A80,[1]Spreads!$A$1:$G$87,6,FALSE)/1000</f>
        <v>#N/A</v>
      </c>
      <c r="R80" s="141">
        <f>_xlfn.IFNA(VLOOKUP($A80,[1]IRESS!$A$11:$AE$696,6,FALSE)/100,"n/a")</f>
        <v>1.1216999999999999</v>
      </c>
      <c r="S80" s="117"/>
      <c r="T80" s="142" t="str">
        <f>IF(VLOOKUP($A80,[1]FE!$A$2:$G$498,3,FALSE)="N/A","n/a",IFERROR(VLOOKUP($A80,[1]FE!$A$2:$G$498,3,FALSE),"n/a"))</f>
        <v>4.09%</v>
      </c>
      <c r="U80" s="138" t="str">
        <f>IF(VLOOKUP($A80,[1]FE!$A$2:$G$498,4,FALSE)="N/A","n/a",IFERROR(VLOOKUP($A80,[1]FE!$A$2:$G$498,4,FALSE),"n/a"))</f>
        <v>6.97%</v>
      </c>
      <c r="V80" s="142" t="str">
        <f>IF(VLOOKUP($A80,[1]FE!$A$2:$G$498,5,FALSE)="N/A","n/a",IFERROR(VLOOKUP($A80,[1]FE!$A$2:$G$498,5,FALSE),"n/a"))</f>
        <v>15.97%</v>
      </c>
      <c r="W80" s="138" t="str">
        <f>IF(VLOOKUP($A80,[1]FE!$A$2:$G$498,6,FALSE)="N/A","n/a",IFERROR(VLOOKUP($A80,[1]FE!$A$2:$G$498,6,FALSE),"n/a"))</f>
        <v>7.56%</v>
      </c>
      <c r="X80" s="142" t="str">
        <f>IF(VLOOKUP($A80,[1]FE!$A$2:$G$498,7,FALSE)="N/A","n/a",IFERROR(VLOOKUP($A80,[1]FE!$A$2:$G$498,7,FALSE),"n/a"))</f>
        <v>8.05%</v>
      </c>
    </row>
    <row r="81" spans="1:24" ht="18.75">
      <c r="A81" s="151" t="s">
        <v>365</v>
      </c>
      <c r="B81" s="130" t="s">
        <v>298</v>
      </c>
      <c r="C81" s="148" t="str">
        <f>VLOOKUP(A81,'[1]mFund List'!$A$2:$B$311,2,FALSE)</f>
        <v>Evans and Partners International Fund - Hedged</v>
      </c>
      <c r="D81" s="149"/>
      <c r="E81" s="116"/>
      <c r="F81" s="133" t="str">
        <f>_xlfn.IFNA(VLOOKUP(A81,'[1]mFund List'!$A$2:$I$200,6,FALSE),"n/a")</f>
        <v>1.25%</v>
      </c>
      <c r="G81" s="134">
        <f>_xlfn.IFNA(VLOOKUP(A81,'[1]mFund List'!$A$2:$J$200,8,FALSE)/1000000,"n/a")</f>
        <v>0.19476657591813001</v>
      </c>
      <c r="H81" s="135">
        <f>_xlfn.IFNA(VLOOKUP(A81,'[1]mFund List'!$A$2:$N$200,14,FALSE)/1000000,"n/a")</f>
        <v>6.711460231500387E-4</v>
      </c>
      <c r="I81" s="134">
        <f>_xlfn.IFNA(VLOOKUP(A81,'[1]mFund List'!$A$2:$R$200,18,FALSE)/1000000,"n/a")</f>
        <v>0</v>
      </c>
      <c r="J81" s="136" t="str">
        <f>_xlfn.IFNA(VLOOKUP(A81,[1]IRESS!$A$10:$F$875,5,FALSE),"n/a")</f>
        <v>0</v>
      </c>
      <c r="K81" s="137" t="str">
        <f>_xlfn.IFNA(VLOOKUP(A81,[1]IRESS!$A$11:$G$684,7,FALSE),"n/a")</f>
        <v>0</v>
      </c>
      <c r="L81" s="136" t="str">
        <f>_xlfn.IFNA(VLOOKUP(A81,[1]IRESS!$A$10:$F$875,4,FALSE),"n/a")</f>
        <v>0</v>
      </c>
      <c r="M81" s="138">
        <f t="shared" si="1"/>
        <v>0</v>
      </c>
      <c r="N81" s="139" t="e">
        <f>VLOOKUP(A81,[1]Spreads!$A$1:$G$87,2,FALSE)</f>
        <v>#N/A</v>
      </c>
      <c r="O81" s="137" t="e">
        <f>VLOOKUP(A81,[1]Spreads!$A$1:$G$87,5,FALSE)/1000</f>
        <v>#N/A</v>
      </c>
      <c r="P81" s="140" t="e">
        <f>VLOOKUP(A81,[1]Spreads!$A$1:$G$87,6,FALSE)/1000</f>
        <v>#N/A</v>
      </c>
      <c r="R81" s="141">
        <f>_xlfn.IFNA(VLOOKUP($A81,[1]IRESS!$A$11:$AE$696,6,FALSE)/100,"n/a")</f>
        <v>1.3059000000000001</v>
      </c>
      <c r="S81" s="117"/>
      <c r="T81" s="142" t="str">
        <f>IF(VLOOKUP($A81,[1]FE!$A$2:$G$498,3,FALSE)="N/A","n/a",IFERROR(VLOOKUP($A81,[1]FE!$A$2:$G$498,3,FALSE),"n/a"))</f>
        <v>0.35%</v>
      </c>
      <c r="U81" s="138" t="str">
        <f>IF(VLOOKUP($A81,[1]FE!$A$2:$G$498,4,FALSE)="N/A","n/a",IFERROR(VLOOKUP($A81,[1]FE!$A$2:$G$498,4,FALSE),"n/a"))</f>
        <v>5.56%</v>
      </c>
      <c r="V81" s="142" t="str">
        <f>IF(VLOOKUP($A81,[1]FE!$A$2:$G$498,5,FALSE)="N/A","n/a",IFERROR(VLOOKUP($A81,[1]FE!$A$2:$G$498,5,FALSE),"n/a"))</f>
        <v>6.35%</v>
      </c>
      <c r="W81" s="138" t="str">
        <f>IF(VLOOKUP($A81,[1]FE!$A$2:$G$498,6,FALSE)="N/A","n/a",IFERROR(VLOOKUP($A81,[1]FE!$A$2:$G$498,6,FALSE),"n/a"))</f>
        <v>12.38%</v>
      </c>
      <c r="X81" s="142" t="str">
        <f>IF(VLOOKUP($A81,[1]FE!$A$2:$G$498,7,FALSE)="N/A","n/a",IFERROR(VLOOKUP($A81,[1]FE!$A$2:$G$498,7,FALSE),"n/a"))</f>
        <v>n/a</v>
      </c>
    </row>
    <row r="82" spans="1:24" ht="18.75">
      <c r="A82" s="151" t="s">
        <v>366</v>
      </c>
      <c r="B82" s="130" t="s">
        <v>298</v>
      </c>
      <c r="C82" s="148" t="str">
        <f>VLOOKUP(A82,'[1]mFund List'!$A$2:$B$311,2,FALSE)</f>
        <v>Evans and Partners International Fund</v>
      </c>
      <c r="D82" s="149"/>
      <c r="E82" s="116"/>
      <c r="F82" s="133" t="str">
        <f>_xlfn.IFNA(VLOOKUP(A82,'[1]mFund List'!$A$2:$I$200,6,FALSE),"n/a")</f>
        <v>1.25%</v>
      </c>
      <c r="G82" s="134">
        <f>_xlfn.IFNA(VLOOKUP(A82,'[1]mFund List'!$A$2:$J$200,8,FALSE)/1000000,"n/a")</f>
        <v>0.66153234597815991</v>
      </c>
      <c r="H82" s="135">
        <f>_xlfn.IFNA(VLOOKUP(A82,'[1]mFund List'!$A$2:$N$200,14,FALSE)/1000000,"n/a")</f>
        <v>1.7003387874239939E-2</v>
      </c>
      <c r="I82" s="134">
        <f>_xlfn.IFNA(VLOOKUP(A82,'[1]mFund List'!$A$2:$R$200,18,FALSE)/1000000,"n/a")</f>
        <v>0</v>
      </c>
      <c r="J82" s="136" t="str">
        <f>_xlfn.IFNA(VLOOKUP(A82,[1]IRESS!$A$10:$F$875,5,FALSE),"n/a")</f>
        <v>0</v>
      </c>
      <c r="K82" s="137" t="str">
        <f>_xlfn.IFNA(VLOOKUP(A82,[1]IRESS!$A$11:$G$684,7,FALSE),"n/a")</f>
        <v>0</v>
      </c>
      <c r="L82" s="136" t="str">
        <f>_xlfn.IFNA(VLOOKUP(A82,[1]IRESS!$A$10:$F$875,4,FALSE),"n/a")</f>
        <v>0</v>
      </c>
      <c r="M82" s="138">
        <f t="shared" si="1"/>
        <v>0</v>
      </c>
      <c r="N82" s="139" t="e">
        <f>VLOOKUP(A82,[1]Spreads!$A$1:$G$87,2,FALSE)</f>
        <v>#N/A</v>
      </c>
      <c r="O82" s="137" t="e">
        <f>VLOOKUP(A82,[1]Spreads!$A$1:$G$87,5,FALSE)/1000</f>
        <v>#N/A</v>
      </c>
      <c r="P82" s="140" t="e">
        <f>VLOOKUP(A82,[1]Spreads!$A$1:$G$87,6,FALSE)/1000</f>
        <v>#N/A</v>
      </c>
      <c r="R82" s="141">
        <f>_xlfn.IFNA(VLOOKUP($A82,[1]IRESS!$A$11:$AE$696,6,FALSE)/100,"n/a")</f>
        <v>1.4472999999999998</v>
      </c>
      <c r="S82" s="117"/>
      <c r="T82" s="142" t="str">
        <f>IF(VLOOKUP($A82,[1]FE!$A$2:$G$498,3,FALSE)="N/A","n/a",IFERROR(VLOOKUP($A82,[1]FE!$A$2:$G$498,3,FALSE),"n/a"))</f>
        <v>2.64%</v>
      </c>
      <c r="U82" s="138" t="str">
        <f>IF(VLOOKUP($A82,[1]FE!$A$2:$G$498,4,FALSE)="N/A","n/a",IFERROR(VLOOKUP($A82,[1]FE!$A$2:$G$498,4,FALSE),"n/a"))</f>
        <v>7.71%</v>
      </c>
      <c r="V82" s="142" t="str">
        <f>IF(VLOOKUP($A82,[1]FE!$A$2:$G$498,5,FALSE)="N/A","n/a",IFERROR(VLOOKUP($A82,[1]FE!$A$2:$G$498,5,FALSE),"n/a"))</f>
        <v>11.21%</v>
      </c>
      <c r="W82" s="138" t="str">
        <f>IF(VLOOKUP($A82,[1]FE!$A$2:$G$498,6,FALSE)="N/A","n/a",IFERROR(VLOOKUP($A82,[1]FE!$A$2:$G$498,6,FALSE),"n/a"))</f>
        <v>11.17%</v>
      </c>
      <c r="X82" s="142" t="str">
        <f>IF(VLOOKUP($A82,[1]FE!$A$2:$G$498,7,FALSE)="N/A","n/a",IFERROR(VLOOKUP($A82,[1]FE!$A$2:$G$498,7,FALSE),"n/a"))</f>
        <v>n/a</v>
      </c>
    </row>
    <row r="83" spans="1:24" ht="18.75">
      <c r="A83" s="151" t="s">
        <v>367</v>
      </c>
      <c r="B83" s="130" t="s">
        <v>298</v>
      </c>
      <c r="C83" s="148" t="str">
        <f>VLOOKUP(A83,'[1]mFund List'!$A$2:$B$311,2,FALSE)</f>
        <v>Fidelity Global Equities</v>
      </c>
      <c r="D83" s="149"/>
      <c r="E83" s="116"/>
      <c r="F83" s="133" t="str">
        <f>_xlfn.IFNA(VLOOKUP(A83,'[1]mFund List'!$A$2:$I$200,6,FALSE),"n/a")</f>
        <v>1.15%</v>
      </c>
      <c r="G83" s="134">
        <f>_xlfn.IFNA(VLOOKUP(A83,'[1]mFund List'!$A$2:$J$200,8,FALSE)/1000000,"n/a")</f>
        <v>8.7450874213050014</v>
      </c>
      <c r="H83" s="135">
        <f>_xlfn.IFNA(VLOOKUP(A83,'[1]mFund List'!$A$2:$N$200,14,FALSE)/1000000,"n/a")</f>
        <v>0.36104949140099996</v>
      </c>
      <c r="I83" s="134">
        <f>_xlfn.IFNA(VLOOKUP(A83,'[1]mFund List'!$A$2:$R$200,18,FALSE)/1000000,"n/a")</f>
        <v>0.1605326142390002</v>
      </c>
      <c r="J83" s="136">
        <f>_xlfn.IFNA(VLOOKUP(A83,[1]IRESS!$A$10:$F$875,5,FALSE),"n/a")</f>
        <v>177140.47999999998</v>
      </c>
      <c r="K83" s="137">
        <f>_xlfn.IFNA(VLOOKUP(A83,[1]IRESS!$A$11:$G$684,7,FALSE),"n/a")</f>
        <v>7385.2699999999995</v>
      </c>
      <c r="L83" s="136">
        <f>_xlfn.IFNA(VLOOKUP(A83,[1]IRESS!$A$10:$F$875,4,FALSE),"n/a")</f>
        <v>8</v>
      </c>
      <c r="M83" s="138">
        <f t="shared" si="1"/>
        <v>2.0255998764340071E-2</v>
      </c>
      <c r="N83" s="139" t="e">
        <f>VLOOKUP(A83,[1]Spreads!$A$1:$G$87,2,FALSE)</f>
        <v>#N/A</v>
      </c>
      <c r="O83" s="137" t="e">
        <f>VLOOKUP(A83,[1]Spreads!$A$1:$G$87,5,FALSE)/1000</f>
        <v>#N/A</v>
      </c>
      <c r="P83" s="140" t="e">
        <f>VLOOKUP(A83,[1]Spreads!$A$1:$G$87,6,FALSE)/1000</f>
        <v>#N/A</v>
      </c>
      <c r="R83" s="141">
        <f>_xlfn.IFNA(VLOOKUP($A83,[1]IRESS!$A$11:$AE$696,6,FALSE)/100,"n/a")</f>
        <v>23.927700000000002</v>
      </c>
      <c r="S83" s="117"/>
      <c r="T83" s="142" t="str">
        <f>IF(VLOOKUP($A83,[1]FE!$A$2:$G$498,3,FALSE)="N/A","n/a",IFERROR(VLOOKUP($A83,[1]FE!$A$2:$G$498,3,FALSE),"n/a"))</f>
        <v>2.39%</v>
      </c>
      <c r="U83" s="138" t="str">
        <f>IF(VLOOKUP($A83,[1]FE!$A$2:$G$498,4,FALSE)="N/A","n/a",IFERROR(VLOOKUP($A83,[1]FE!$A$2:$G$498,4,FALSE),"n/a"))</f>
        <v>5.73%</v>
      </c>
      <c r="V83" s="142" t="str">
        <f>IF(VLOOKUP($A83,[1]FE!$A$2:$G$498,5,FALSE)="N/A","n/a",IFERROR(VLOOKUP($A83,[1]FE!$A$2:$G$498,5,FALSE),"n/a"))</f>
        <v>18.33%</v>
      </c>
      <c r="W83" s="138" t="str">
        <f>IF(VLOOKUP($A83,[1]FE!$A$2:$G$498,6,FALSE)="N/A","n/a",IFERROR(VLOOKUP($A83,[1]FE!$A$2:$G$498,6,FALSE),"n/a"))</f>
        <v>10.69%</v>
      </c>
      <c r="X83" s="142" t="str">
        <f>IF(VLOOKUP($A83,[1]FE!$A$2:$G$498,7,FALSE)="N/A","n/a",IFERROR(VLOOKUP($A83,[1]FE!$A$2:$G$498,7,FALSE),"n/a"))</f>
        <v>15.40%</v>
      </c>
    </row>
    <row r="84" spans="1:24" ht="18.75">
      <c r="A84" s="151" t="s">
        <v>368</v>
      </c>
      <c r="B84" s="130" t="s">
        <v>298</v>
      </c>
      <c r="C84" s="148" t="str">
        <f>VLOOKUP(A84,'[1]mFund List'!$A$2:$B$311,2,FALSE)</f>
        <v>Fidelity Hedged Global Equities</v>
      </c>
      <c r="D84" s="149"/>
      <c r="E84" s="116"/>
      <c r="F84" s="133" t="str">
        <f>_xlfn.IFNA(VLOOKUP(A84,'[1]mFund List'!$A$2:$I$200,6,FALSE),"n/a")</f>
        <v>1.20%</v>
      </c>
      <c r="G84" s="134">
        <f>_xlfn.IFNA(VLOOKUP(A84,'[1]mFund List'!$A$2:$J$200,8,FALSE)/1000000,"n/a")</f>
        <v>0.74770298360700005</v>
      </c>
      <c r="H84" s="135">
        <f>_xlfn.IFNA(VLOOKUP(A84,'[1]mFund List'!$A$2:$N$200,14,FALSE)/1000000,"n/a")</f>
        <v>3.0006377932000089E-2</v>
      </c>
      <c r="I84" s="134">
        <f>_xlfn.IFNA(VLOOKUP(A84,'[1]mFund List'!$A$2:$R$200,18,FALSE)/1000000,"n/a")</f>
        <v>2.7729198782000006E-2</v>
      </c>
      <c r="J84" s="136">
        <f>_xlfn.IFNA(VLOOKUP(A84,[1]IRESS!$A$10:$F$875,5,FALSE),"n/a")</f>
        <v>28320</v>
      </c>
      <c r="K84" s="137">
        <f>_xlfn.IFNA(VLOOKUP(A84,[1]IRESS!$A$11:$G$684,7,FALSE),"n/a")</f>
        <v>1630.18</v>
      </c>
      <c r="L84" s="136">
        <f>_xlfn.IFNA(VLOOKUP(A84,[1]IRESS!$A$10:$F$875,4,FALSE),"n/a")</f>
        <v>1</v>
      </c>
      <c r="M84" s="138">
        <f t="shared" si="1"/>
        <v>3.7876002397878979E-2</v>
      </c>
      <c r="N84" s="139" t="e">
        <f>VLOOKUP(A84,[1]Spreads!$A$1:$G$87,2,FALSE)</f>
        <v>#N/A</v>
      </c>
      <c r="O84" s="137" t="e">
        <f>VLOOKUP(A84,[1]Spreads!$A$1:$G$87,5,FALSE)/1000</f>
        <v>#N/A</v>
      </c>
      <c r="P84" s="140" t="e">
        <f>VLOOKUP(A84,[1]Spreads!$A$1:$G$87,6,FALSE)/1000</f>
        <v>#N/A</v>
      </c>
      <c r="R84" s="141">
        <f>_xlfn.IFNA(VLOOKUP($A84,[1]IRESS!$A$11:$AE$696,6,FALSE)/100,"n/a")</f>
        <v>17.009900000000002</v>
      </c>
      <c r="S84" s="117"/>
      <c r="T84" s="142" t="str">
        <f>IF(VLOOKUP($A84,[1]FE!$A$2:$G$498,3,FALSE)="N/A","n/a",IFERROR(VLOOKUP($A84,[1]FE!$A$2:$G$498,3,FALSE),"n/a"))</f>
        <v>0.32%</v>
      </c>
      <c r="U84" s="138" t="str">
        <f>IF(VLOOKUP($A84,[1]FE!$A$2:$G$498,4,FALSE)="N/A","n/a",IFERROR(VLOOKUP($A84,[1]FE!$A$2:$G$498,4,FALSE),"n/a"))</f>
        <v>4.12%</v>
      </c>
      <c r="V84" s="142" t="str">
        <f>IF(VLOOKUP($A84,[1]FE!$A$2:$G$498,5,FALSE)="N/A","n/a",IFERROR(VLOOKUP($A84,[1]FE!$A$2:$G$498,5,FALSE),"n/a"))</f>
        <v>14.16%</v>
      </c>
      <c r="W84" s="138" t="str">
        <f>IF(VLOOKUP($A84,[1]FE!$A$2:$G$498,6,FALSE)="N/A","n/a",IFERROR(VLOOKUP($A84,[1]FE!$A$2:$G$498,6,FALSE),"n/a"))</f>
        <v>9.89%</v>
      </c>
      <c r="X84" s="142" t="str">
        <f>IF(VLOOKUP($A84,[1]FE!$A$2:$G$498,7,FALSE)="N/A","n/a",IFERROR(VLOOKUP($A84,[1]FE!$A$2:$G$498,7,FALSE),"n/a"))</f>
        <v>12.75%</v>
      </c>
    </row>
    <row r="85" spans="1:24" ht="18.75">
      <c r="A85" s="151" t="s">
        <v>369</v>
      </c>
      <c r="B85" s="130" t="s">
        <v>298</v>
      </c>
      <c r="C85" s="148" t="str">
        <f>VLOOKUP(A85,'[1]mFund List'!$A$2:$B$311,2,FALSE)</f>
        <v>Fidelity Global Demographics</v>
      </c>
      <c r="D85" s="149"/>
      <c r="E85" s="116"/>
      <c r="F85" s="133" t="str">
        <f>_xlfn.IFNA(VLOOKUP(A85,'[1]mFund List'!$A$2:$I$200,6,FALSE),"n/a")</f>
        <v>1.15%</v>
      </c>
      <c r="G85" s="134">
        <f>_xlfn.IFNA(VLOOKUP(A85,'[1]mFund List'!$A$2:$J$200,8,FALSE)/1000000,"n/a")</f>
        <v>1.1484152314140001</v>
      </c>
      <c r="H85" s="135">
        <f>_xlfn.IFNA(VLOOKUP(A85,'[1]mFund List'!$A$2:$N$200,14,FALSE)/1000000,"n/a")</f>
        <v>5.6475334081999957E-2</v>
      </c>
      <c r="I85" s="134">
        <f>_xlfn.IFNA(VLOOKUP(A85,'[1]mFund List'!$A$2:$R$200,18,FALSE)/1000000,"n/a")</f>
        <v>4.1618832199999997E-2</v>
      </c>
      <c r="J85" s="136">
        <f>_xlfn.IFNA(VLOOKUP(A85,[1]IRESS!$A$10:$F$875,5,FALSE),"n/a")</f>
        <v>57943.07</v>
      </c>
      <c r="K85" s="137">
        <f>_xlfn.IFNA(VLOOKUP(A85,[1]IRESS!$A$11:$G$684,7,FALSE),"n/a")</f>
        <v>2710</v>
      </c>
      <c r="L85" s="136">
        <f>_xlfn.IFNA(VLOOKUP(A85,[1]IRESS!$A$10:$F$875,4,FALSE),"n/a")</f>
        <v>3</v>
      </c>
      <c r="M85" s="138">
        <f t="shared" si="1"/>
        <v>5.0454807995411993E-2</v>
      </c>
      <c r="N85" s="139" t="e">
        <f>VLOOKUP(A85,[1]Spreads!$A$1:$G$87,2,FALSE)</f>
        <v>#N/A</v>
      </c>
      <c r="O85" s="137" t="e">
        <f>VLOOKUP(A85,[1]Spreads!$A$1:$G$87,5,FALSE)/1000</f>
        <v>#N/A</v>
      </c>
      <c r="P85" s="140" t="e">
        <f>VLOOKUP(A85,[1]Spreads!$A$1:$G$87,6,FALSE)/1000</f>
        <v>#N/A</v>
      </c>
      <c r="R85" s="141">
        <f>_xlfn.IFNA(VLOOKUP($A85,[1]IRESS!$A$11:$AE$696,6,FALSE)/100,"n/a")</f>
        <v>21.299299999999999</v>
      </c>
      <c r="S85" s="117"/>
      <c r="T85" s="142" t="str">
        <f>IF(VLOOKUP($A85,[1]FE!$A$2:$G$498,3,FALSE)="N/A","n/a",IFERROR(VLOOKUP($A85,[1]FE!$A$2:$G$498,3,FALSE),"n/a"))</f>
        <v>1.36%</v>
      </c>
      <c r="U85" s="138" t="str">
        <f>IF(VLOOKUP($A85,[1]FE!$A$2:$G$498,4,FALSE)="N/A","n/a",IFERROR(VLOOKUP($A85,[1]FE!$A$2:$G$498,4,FALSE),"n/a"))</f>
        <v>4.07%</v>
      </c>
      <c r="V85" s="142" t="str">
        <f>IF(VLOOKUP($A85,[1]FE!$A$2:$G$498,5,FALSE)="N/A","n/a",IFERROR(VLOOKUP($A85,[1]FE!$A$2:$G$498,5,FALSE),"n/a"))</f>
        <v>17.12%</v>
      </c>
      <c r="W85" s="138" t="str">
        <f>IF(VLOOKUP($A85,[1]FE!$A$2:$G$498,6,FALSE)="N/A","n/a",IFERROR(VLOOKUP($A85,[1]FE!$A$2:$G$498,6,FALSE),"n/a"))</f>
        <v>10.84%</v>
      </c>
      <c r="X85" s="142" t="str">
        <f>IF(VLOOKUP($A85,[1]FE!$A$2:$G$498,7,FALSE)="N/A","n/a",IFERROR(VLOOKUP($A85,[1]FE!$A$2:$G$498,7,FALSE),"n/a"))</f>
        <v>16.74%</v>
      </c>
    </row>
    <row r="86" spans="1:24" ht="18.75">
      <c r="A86" s="151" t="s">
        <v>370</v>
      </c>
      <c r="B86" s="130" t="s">
        <v>298</v>
      </c>
      <c r="C86" s="148" t="str">
        <f>VLOOKUP(A86,'[1]mFund List'!$A$2:$B$311,2,FALSE)</f>
        <v>Fidelity FIRST Global Fund</v>
      </c>
      <c r="D86" s="149"/>
      <c r="E86" s="116"/>
      <c r="F86" s="133" t="str">
        <f>_xlfn.IFNA(VLOOKUP(A86,'[1]mFund List'!$A$2:$I$200,6,FALSE),"n/a")</f>
        <v>1.15%</v>
      </c>
      <c r="G86" s="134">
        <f>_xlfn.IFNA(VLOOKUP(A86,'[1]mFund List'!$A$2:$J$200,8,FALSE)/1000000,"n/a")</f>
        <v>0</v>
      </c>
      <c r="H86" s="135">
        <f>_xlfn.IFNA(VLOOKUP(A86,'[1]mFund List'!$A$2:$N$200,14,FALSE)/1000000,"n/a")</f>
        <v>0</v>
      </c>
      <c r="I86" s="134">
        <f>_xlfn.IFNA(VLOOKUP(A86,'[1]mFund List'!$A$2:$R$200,18,FALSE)/1000000,"n/a")</f>
        <v>0</v>
      </c>
      <c r="J86" s="136" t="str">
        <f>_xlfn.IFNA(VLOOKUP(A86,[1]IRESS!$A$10:$F$875,5,FALSE),"n/a")</f>
        <v>0</v>
      </c>
      <c r="K86" s="137" t="str">
        <f>_xlfn.IFNA(VLOOKUP(A86,[1]IRESS!$A$11:$G$684,7,FALSE),"n/a")</f>
        <v>0</v>
      </c>
      <c r="L86" s="136" t="str">
        <f>_xlfn.IFNA(VLOOKUP(A86,[1]IRESS!$A$10:$F$875,4,FALSE),"n/a")</f>
        <v>0</v>
      </c>
      <c r="M86" s="138" t="e">
        <f t="shared" si="1"/>
        <v>#DIV/0!</v>
      </c>
      <c r="N86" s="139" t="e">
        <f>VLOOKUP(A86,[1]Spreads!$A$1:$G$87,2,FALSE)</f>
        <v>#N/A</v>
      </c>
      <c r="O86" s="137" t="e">
        <f>VLOOKUP(A86,[1]Spreads!$A$1:$G$87,5,FALSE)/1000</f>
        <v>#N/A</v>
      </c>
      <c r="P86" s="140" t="e">
        <f>VLOOKUP(A86,[1]Spreads!$A$1:$G$87,6,FALSE)/1000</f>
        <v>#N/A</v>
      </c>
      <c r="R86" s="141">
        <f>_xlfn.IFNA(VLOOKUP($A86,[1]IRESS!$A$11:$AE$696,6,FALSE)/100,"n/a")</f>
        <v>11.1592</v>
      </c>
      <c r="S86" s="117"/>
      <c r="T86" s="142" t="str">
        <f>IF(VLOOKUP($A86,[1]FE!$A$2:$G$498,3,FALSE)="N/A","n/a",IFERROR(VLOOKUP($A86,[1]FE!$A$2:$G$498,3,FALSE),"n/a"))</f>
        <v>1.17%</v>
      </c>
      <c r="U86" s="138" t="str">
        <f>IF(VLOOKUP($A86,[1]FE!$A$2:$G$498,4,FALSE)="N/A","n/a",IFERROR(VLOOKUP($A86,[1]FE!$A$2:$G$498,4,FALSE),"n/a"))</f>
        <v>3.50%</v>
      </c>
      <c r="V86" s="142" t="str">
        <f>IF(VLOOKUP($A86,[1]FE!$A$2:$G$498,5,FALSE)="N/A","n/a",IFERROR(VLOOKUP($A86,[1]FE!$A$2:$G$498,5,FALSE),"n/a"))</f>
        <v>13.21%</v>
      </c>
      <c r="W86" s="138" t="str">
        <f>IF(VLOOKUP($A86,[1]FE!$A$2:$G$498,6,FALSE)="N/A","n/a",IFERROR(VLOOKUP($A86,[1]FE!$A$2:$G$498,6,FALSE),"n/a"))</f>
        <v>n/a</v>
      </c>
      <c r="X86" s="142" t="str">
        <f>IF(VLOOKUP($A86,[1]FE!$A$2:$G$498,7,FALSE)="N/A","n/a",IFERROR(VLOOKUP($A86,[1]FE!$A$2:$G$498,7,FALSE),"n/a"))</f>
        <v>n/a</v>
      </c>
    </row>
    <row r="87" spans="1:24" ht="18.75">
      <c r="A87" s="151" t="s">
        <v>371</v>
      </c>
      <c r="B87" s="130" t="s">
        <v>298</v>
      </c>
      <c r="C87" s="148" t="str">
        <f>VLOOKUP(A87,'[1]mFund List'!$A$2:$B$311,2,FALSE)</f>
        <v>Grant Samuel Epoch Global Equity Shareholder Yield Hedged</v>
      </c>
      <c r="D87" s="149"/>
      <c r="E87" s="116"/>
      <c r="F87" s="133" t="str">
        <f>_xlfn.IFNA(VLOOKUP(A87,'[1]mFund List'!$A$2:$I$200,6,FALSE),"n/a")</f>
        <v>1.30%</v>
      </c>
      <c r="G87" s="134">
        <f>_xlfn.IFNA(VLOOKUP(A87,'[1]mFund List'!$A$2:$J$200,8,FALSE)/1000000,"n/a")</f>
        <v>0.10525509914</v>
      </c>
      <c r="H87" s="135">
        <f>_xlfn.IFNA(VLOOKUP(A87,'[1]mFund List'!$A$2:$N$200,14,FALSE)/1000000,"n/a")</f>
        <v>6.126656409500001E-2</v>
      </c>
      <c r="I87" s="134">
        <f>_xlfn.IFNA(VLOOKUP(A87,'[1]mFund List'!$A$2:$R$200,18,FALSE)/1000000,"n/a")</f>
        <v>6.0953782010000006E-2</v>
      </c>
      <c r="J87" s="136">
        <f>_xlfn.IFNA(VLOOKUP(A87,[1]IRESS!$A$10:$F$875,5,FALSE),"n/a")</f>
        <v>61500</v>
      </c>
      <c r="K87" s="137">
        <f>_xlfn.IFNA(VLOOKUP(A87,[1]IRESS!$A$11:$G$684,7,FALSE),"n/a")</f>
        <v>78246.19</v>
      </c>
      <c r="L87" s="136">
        <f>_xlfn.IFNA(VLOOKUP(A87,[1]IRESS!$A$10:$F$875,4,FALSE),"n/a")</f>
        <v>1</v>
      </c>
      <c r="M87" s="138">
        <f t="shared" si="1"/>
        <v>0.58429473253546349</v>
      </c>
      <c r="N87" s="139" t="e">
        <f>VLOOKUP(A87,[1]Spreads!$A$1:$G$87,2,FALSE)</f>
        <v>#N/A</v>
      </c>
      <c r="O87" s="137" t="e">
        <f>VLOOKUP(A87,[1]Spreads!$A$1:$G$87,5,FALSE)/1000</f>
        <v>#N/A</v>
      </c>
      <c r="P87" s="140" t="e">
        <f>VLOOKUP(A87,[1]Spreads!$A$1:$G$87,6,FALSE)/1000</f>
        <v>#N/A</v>
      </c>
      <c r="R87" s="141">
        <f>_xlfn.IFNA(VLOOKUP($A87,[1]IRESS!$A$11:$AE$696,6,FALSE)/100,"n/a")</f>
        <v>0.77900000000000003</v>
      </c>
      <c r="S87" s="117"/>
      <c r="T87" s="142" t="str">
        <f>IF(VLOOKUP($A87,[1]FE!$A$2:$G$498,3,FALSE)="N/A","n/a",IFERROR(VLOOKUP($A87,[1]FE!$A$2:$G$498,3,FALSE),"n/a"))</f>
        <v>0.71%</v>
      </c>
      <c r="U87" s="138" t="str">
        <f>IF(VLOOKUP($A87,[1]FE!$A$2:$G$498,4,FALSE)="N/A","n/a",IFERROR(VLOOKUP($A87,[1]FE!$A$2:$G$498,4,FALSE),"n/a"))</f>
        <v>2.84%</v>
      </c>
      <c r="V87" s="142" t="str">
        <f>IF(VLOOKUP($A87,[1]FE!$A$2:$G$498,5,FALSE)="N/A","n/a",IFERROR(VLOOKUP($A87,[1]FE!$A$2:$G$498,5,FALSE),"n/a"))</f>
        <v>2.18%</v>
      </c>
      <c r="W87" s="138" t="str">
        <f>IF(VLOOKUP($A87,[1]FE!$A$2:$G$498,6,FALSE)="N/A","n/a",IFERROR(VLOOKUP($A87,[1]FE!$A$2:$G$498,6,FALSE),"n/a"))</f>
        <v>6.43%</v>
      </c>
      <c r="X87" s="142" t="str">
        <f>IF(VLOOKUP($A87,[1]FE!$A$2:$G$498,7,FALSE)="N/A","n/a",IFERROR(VLOOKUP($A87,[1]FE!$A$2:$G$498,7,FALSE),"n/a"))</f>
        <v>8.96%</v>
      </c>
    </row>
    <row r="88" spans="1:24" ht="18.75">
      <c r="A88" s="151" t="s">
        <v>372</v>
      </c>
      <c r="B88" s="130" t="s">
        <v>298</v>
      </c>
      <c r="C88" s="148" t="str">
        <f>VLOOKUP(A88,'[1]mFund List'!$A$2:$B$311,2,FALSE)</f>
        <v>Grant Samuel Epoch Global Equity Shareholder Yield (Unhedged)</v>
      </c>
      <c r="D88" s="149"/>
      <c r="E88" s="116"/>
      <c r="F88" s="133" t="str">
        <f>_xlfn.IFNA(VLOOKUP(A88,'[1]mFund List'!$A$2:$I$200,6,FALSE),"n/a")</f>
        <v>1.25%</v>
      </c>
      <c r="G88" s="134">
        <f>_xlfn.IFNA(VLOOKUP(A88,'[1]mFund List'!$A$2:$J$200,8,FALSE)/1000000,"n/a")</f>
        <v>0.13786228528800001</v>
      </c>
      <c r="H88" s="135">
        <f>_xlfn.IFNA(VLOOKUP(A88,'[1]mFund List'!$A$2:$N$200,14,FALSE)/1000000,"n/a")</f>
        <v>2.5693936814000014E-2</v>
      </c>
      <c r="I88" s="134">
        <f>_xlfn.IFNA(VLOOKUP(A88,'[1]mFund List'!$A$2:$R$200,18,FALSE)/1000000,"n/a")</f>
        <v>2.2534265025999992E-2</v>
      </c>
      <c r="J88" s="136">
        <f>_xlfn.IFNA(VLOOKUP(A88,[1]IRESS!$A$10:$F$875,5,FALSE),"n/a")</f>
        <v>22000</v>
      </c>
      <c r="K88" s="137">
        <f>_xlfn.IFNA(VLOOKUP(A88,[1]IRESS!$A$11:$G$684,7,FALSE),"n/a")</f>
        <v>16960.91</v>
      </c>
      <c r="L88" s="136">
        <f>_xlfn.IFNA(VLOOKUP(A88,[1]IRESS!$A$10:$F$875,4,FALSE),"n/a")</f>
        <v>1</v>
      </c>
      <c r="M88" s="138">
        <f t="shared" si="1"/>
        <v>0.15957953949509171</v>
      </c>
      <c r="N88" s="139" t="e">
        <f>VLOOKUP(A88,[1]Spreads!$A$1:$G$87,2,FALSE)</f>
        <v>#N/A</v>
      </c>
      <c r="O88" s="137" t="e">
        <f>VLOOKUP(A88,[1]Spreads!$A$1:$G$87,5,FALSE)/1000</f>
        <v>#N/A</v>
      </c>
      <c r="P88" s="140" t="e">
        <f>VLOOKUP(A88,[1]Spreads!$A$1:$G$87,6,FALSE)/1000</f>
        <v>#N/A</v>
      </c>
      <c r="R88" s="141">
        <f>_xlfn.IFNA(VLOOKUP($A88,[1]IRESS!$A$11:$AE$696,6,FALSE)/100,"n/a")</f>
        <v>1.3286000000000002</v>
      </c>
      <c r="S88" s="117"/>
      <c r="T88" s="142" t="str">
        <f>IF(VLOOKUP($A88,[1]FE!$A$2:$G$498,3,FALSE)="N/A","n/a",IFERROR(VLOOKUP($A88,[1]FE!$A$2:$G$498,3,FALSE),"n/a"))</f>
        <v>2.82%</v>
      </c>
      <c r="U88" s="138" t="str">
        <f>IF(VLOOKUP($A88,[1]FE!$A$2:$G$498,4,FALSE)="N/A","n/a",IFERROR(VLOOKUP($A88,[1]FE!$A$2:$G$498,4,FALSE),"n/a"))</f>
        <v>3.99%</v>
      </c>
      <c r="V88" s="142" t="str">
        <f>IF(VLOOKUP($A88,[1]FE!$A$2:$G$498,5,FALSE)="N/A","n/a",IFERROR(VLOOKUP($A88,[1]FE!$A$2:$G$498,5,FALSE),"n/a"))</f>
        <v>5.55%</v>
      </c>
      <c r="W88" s="138" t="str">
        <f>IF(VLOOKUP($A88,[1]FE!$A$2:$G$498,6,FALSE)="N/A","n/a",IFERROR(VLOOKUP($A88,[1]FE!$A$2:$G$498,6,FALSE),"n/a"))</f>
        <v>5.99%</v>
      </c>
      <c r="X88" s="142" t="str">
        <f>IF(VLOOKUP($A88,[1]FE!$A$2:$G$498,7,FALSE)="N/A","n/a",IFERROR(VLOOKUP($A88,[1]FE!$A$2:$G$498,7,FALSE),"n/a"))</f>
        <v>10.65%</v>
      </c>
    </row>
    <row r="89" spans="1:24" ht="18.75">
      <c r="A89" s="151" t="s">
        <v>373</v>
      </c>
      <c r="B89" s="130" t="s">
        <v>298</v>
      </c>
      <c r="C89" s="148" t="str">
        <f>VLOOKUP(A89,'[1]mFund List'!$A$2:$B$311,2,FALSE)</f>
        <v>Hyperion Global Growth Companies</v>
      </c>
      <c r="D89" s="149"/>
      <c r="E89" s="116"/>
      <c r="F89" s="133" t="str">
        <f>_xlfn.IFNA(VLOOKUP(A89,'[1]mFund List'!$A$2:$I$200,6,FALSE),"n/a")</f>
        <v>1.15%</v>
      </c>
      <c r="G89" s="134">
        <f>_xlfn.IFNA(VLOOKUP(A89,'[1]mFund List'!$A$2:$J$200,8,FALSE)/1000000,"n/a")</f>
        <v>0.62680494842120005</v>
      </c>
      <c r="H89" s="135">
        <f>_xlfn.IFNA(VLOOKUP(A89,'[1]mFund List'!$A$2:$N$200,14,FALSE)/1000000,"n/a")</f>
        <v>2.3930262598800007E-2</v>
      </c>
      <c r="I89" s="134">
        <f>_xlfn.IFNA(VLOOKUP(A89,'[1]mFund List'!$A$2:$R$200,18,FALSE)/1000000,"n/a")</f>
        <v>0</v>
      </c>
      <c r="J89" s="136" t="str">
        <f>_xlfn.IFNA(VLOOKUP(A89,[1]IRESS!$A$10:$F$875,5,FALSE),"n/a")</f>
        <v>0</v>
      </c>
      <c r="K89" s="137" t="str">
        <f>_xlfn.IFNA(VLOOKUP(A89,[1]IRESS!$A$11:$G$684,7,FALSE),"n/a")</f>
        <v>0</v>
      </c>
      <c r="L89" s="136" t="str">
        <f>_xlfn.IFNA(VLOOKUP(A89,[1]IRESS!$A$10:$F$875,4,FALSE),"n/a")</f>
        <v>0</v>
      </c>
      <c r="M89" s="138">
        <f t="shared" si="1"/>
        <v>0</v>
      </c>
      <c r="N89" s="139" t="e">
        <f>VLOOKUP(A89,[1]Spreads!$A$1:$G$87,2,FALSE)</f>
        <v>#N/A</v>
      </c>
      <c r="O89" s="137" t="e">
        <f>VLOOKUP(A89,[1]Spreads!$A$1:$G$87,5,FALSE)/1000</f>
        <v>#N/A</v>
      </c>
      <c r="P89" s="140" t="e">
        <f>VLOOKUP(A89,[1]Spreads!$A$1:$G$87,6,FALSE)/1000</f>
        <v>#N/A</v>
      </c>
      <c r="R89" s="141">
        <f>_xlfn.IFNA(VLOOKUP($A89,[1]IRESS!$A$11:$AE$696,6,FALSE)/100,"n/a")</f>
        <v>1.4930000000000001</v>
      </c>
      <c r="S89" s="117"/>
      <c r="T89" s="142" t="str">
        <f>IF(VLOOKUP($A89,[1]FE!$A$2:$G$498,3,FALSE)="N/A","n/a",IFERROR(VLOOKUP($A89,[1]FE!$A$2:$G$498,3,FALSE),"n/a"))</f>
        <v>3.97%</v>
      </c>
      <c r="U89" s="138" t="str">
        <f>IF(VLOOKUP($A89,[1]FE!$A$2:$G$498,4,FALSE)="N/A","n/a",IFERROR(VLOOKUP($A89,[1]FE!$A$2:$G$498,4,FALSE),"n/a"))</f>
        <v>14.12%</v>
      </c>
      <c r="V89" s="142" t="str">
        <f>IF(VLOOKUP($A89,[1]FE!$A$2:$G$498,5,FALSE)="N/A","n/a",IFERROR(VLOOKUP($A89,[1]FE!$A$2:$G$498,5,FALSE),"n/a"))</f>
        <v>33.07%</v>
      </c>
      <c r="W89" s="138" t="str">
        <f>IF(VLOOKUP($A89,[1]FE!$A$2:$G$498,6,FALSE)="N/A","n/a",IFERROR(VLOOKUP($A89,[1]FE!$A$2:$G$498,6,FALSE),"n/a"))</f>
        <v>n/a</v>
      </c>
      <c r="X89" s="142" t="str">
        <f>IF(VLOOKUP($A89,[1]FE!$A$2:$G$498,7,FALSE)="N/A","n/a",IFERROR(VLOOKUP($A89,[1]FE!$A$2:$G$498,7,FALSE),"n/a"))</f>
        <v>n/a</v>
      </c>
    </row>
    <row r="90" spans="1:24" ht="18.75">
      <c r="A90" s="151" t="s">
        <v>374</v>
      </c>
      <c r="B90" s="130" t="s">
        <v>298</v>
      </c>
      <c r="C90" s="148" t="str">
        <f>VLOOKUP(A90,'[1]mFund List'!$A$2:$B$311,2,FALSE)</f>
        <v>Hyperion Global Growth Companies Fund (Class B Units)</v>
      </c>
      <c r="D90" s="149"/>
      <c r="E90" s="116"/>
      <c r="F90" s="133">
        <f>_xlfn.IFNA(VLOOKUP(A90,'[1]mFund List'!$A$2:$I$200,6,FALSE),"n/a")</f>
        <v>1.04E-2</v>
      </c>
      <c r="G90" s="134">
        <f>_xlfn.IFNA(VLOOKUP(A90,'[1]mFund List'!$A$2:$J$200,8,FALSE)/1000000,"n/a")</f>
        <v>0.44101403629361996</v>
      </c>
      <c r="H90" s="135">
        <f>_xlfn.IFNA(VLOOKUP(A90,'[1]mFund List'!$A$2:$N$200,14,FALSE)/1000000,"n/a")</f>
        <v>0.15840988815527998</v>
      </c>
      <c r="I90" s="134">
        <f>_xlfn.IFNA(VLOOKUP(A90,'[1]mFund List'!$A$2:$R$200,18,FALSE)/1000000,"n/a")</f>
        <v>0.14537047759343999</v>
      </c>
      <c r="J90" s="136">
        <f>_xlfn.IFNA(VLOOKUP(A90,[1]IRESS!$A$10:$F$875,5,FALSE),"n/a")</f>
        <v>145000</v>
      </c>
      <c r="K90" s="137">
        <f>_xlfn.IFNA(VLOOKUP(A90,[1]IRESS!$A$11:$G$684,7,FALSE),"n/a")</f>
        <v>68499.895199999999</v>
      </c>
      <c r="L90" s="136">
        <f>_xlfn.IFNA(VLOOKUP(A90,[1]IRESS!$A$10:$F$875,4,FALSE),"n/a")</f>
        <v>4</v>
      </c>
      <c r="M90" s="138">
        <f t="shared" si="1"/>
        <v>0.32878772117688643</v>
      </c>
      <c r="N90" s="139" t="e">
        <f>VLOOKUP(A90,[1]Spreads!$A$1:$G$87,2,FALSE)</f>
        <v>#N/A</v>
      </c>
      <c r="O90" s="137" t="e">
        <f>VLOOKUP(A90,[1]Spreads!$A$1:$G$87,5,FALSE)/1000</f>
        <v>#N/A</v>
      </c>
      <c r="P90" s="140" t="e">
        <f>VLOOKUP(A90,[1]Spreads!$A$1:$G$87,6,FALSE)/1000</f>
        <v>#N/A</v>
      </c>
      <c r="R90" s="141">
        <f>_xlfn.IFNA(VLOOKUP($A90,[1]IRESS!$A$11:$AE$696,6,FALSE)/100,"n/a")</f>
        <v>2.1221999999999999</v>
      </c>
      <c r="S90" s="117"/>
      <c r="T90" s="142" t="str">
        <f>IF(VLOOKUP($A90,[1]FE!$A$2:$G$498,3,FALSE)="N/A","n/a",IFERROR(VLOOKUP($A90,[1]FE!$A$2:$G$498,3,FALSE),"n/a"))</f>
        <v>4.61%</v>
      </c>
      <c r="U90" s="138" t="str">
        <f>IF(VLOOKUP($A90,[1]FE!$A$2:$G$498,4,FALSE)="N/A","n/a",IFERROR(VLOOKUP($A90,[1]FE!$A$2:$G$498,4,FALSE),"n/a"))</f>
        <v>15.30%</v>
      </c>
      <c r="V90" s="142" t="str">
        <f>IF(VLOOKUP($A90,[1]FE!$A$2:$G$498,5,FALSE)="N/A","n/a",IFERROR(VLOOKUP($A90,[1]FE!$A$2:$G$498,5,FALSE),"n/a"))</f>
        <v>35.91%</v>
      </c>
      <c r="W90" s="138" t="str">
        <f>IF(VLOOKUP($A90,[1]FE!$A$2:$G$498,6,FALSE)="N/A","n/a",IFERROR(VLOOKUP($A90,[1]FE!$A$2:$G$498,6,FALSE),"n/a"))</f>
        <v>20.28%</v>
      </c>
      <c r="X90" s="142" t="str">
        <f>IF(VLOOKUP($A90,[1]FE!$A$2:$G$498,7,FALSE)="N/A","n/a",IFERROR(VLOOKUP($A90,[1]FE!$A$2:$G$498,7,FALSE),"n/a"))</f>
        <v>n/a</v>
      </c>
    </row>
    <row r="91" spans="1:24" ht="18.75">
      <c r="A91" s="151" t="s">
        <v>375</v>
      </c>
      <c r="B91" s="130" t="s">
        <v>298</v>
      </c>
      <c r="C91" s="148" t="str">
        <f>VLOOKUP(A91,'[1]mFund List'!$A$2:$B$311,2,FALSE)</f>
        <v xml:space="preserve">Invesco Wholesale Global Matrix Fund - unhedged </v>
      </c>
      <c r="D91" s="149"/>
      <c r="E91" s="116"/>
      <c r="F91" s="133" t="str">
        <f>_xlfn.IFNA(VLOOKUP(A91,'[1]mFund List'!$A$2:$I$200,6,FALSE),"n/a")</f>
        <v>0.95%</v>
      </c>
      <c r="G91" s="134">
        <f>_xlfn.IFNA(VLOOKUP(A91,'[1]mFund List'!$A$2:$J$200,8,FALSE)/1000000,"n/a")</f>
        <v>2.2033569983199</v>
      </c>
      <c r="H91" s="135">
        <f>_xlfn.IFNA(VLOOKUP(A91,'[1]mFund List'!$A$2:$N$200,14,FALSE)/1000000,"n/a")</f>
        <v>0.20633512035990018</v>
      </c>
      <c r="I91" s="134">
        <f>_xlfn.IFNA(VLOOKUP(A91,'[1]mFund List'!$A$2:$R$200,18,FALSE)/1000000,"n/a")</f>
        <v>0.16131750853470037</v>
      </c>
      <c r="J91" s="136">
        <f>_xlfn.IFNA(VLOOKUP(A91,[1]IRESS!$A$10:$F$875,5,FALSE),"n/a")</f>
        <v>160000</v>
      </c>
      <c r="K91" s="137">
        <f>_xlfn.IFNA(VLOOKUP(A91,[1]IRESS!$A$11:$G$684,7,FALSE),"n/a")</f>
        <v>267391.85900000005</v>
      </c>
      <c r="L91" s="136">
        <f>_xlfn.IFNA(VLOOKUP(A91,[1]IRESS!$A$10:$F$875,4,FALSE),"n/a")</f>
        <v>4</v>
      </c>
      <c r="M91" s="138">
        <f t="shared" si="1"/>
        <v>7.2616466656108339E-2</v>
      </c>
      <c r="N91" s="139" t="e">
        <f>VLOOKUP(A91,[1]Spreads!$A$1:$G$87,2,FALSE)</f>
        <v>#N/A</v>
      </c>
      <c r="O91" s="137" t="e">
        <f>VLOOKUP(A91,[1]Spreads!$A$1:$G$87,5,FALSE)/1000</f>
        <v>#N/A</v>
      </c>
      <c r="P91" s="140" t="e">
        <f>VLOOKUP(A91,[1]Spreads!$A$1:$G$87,6,FALSE)/1000</f>
        <v>#N/A</v>
      </c>
      <c r="R91" s="141">
        <f>_xlfn.IFNA(VLOOKUP($A91,[1]IRESS!$A$11:$AE$696,6,FALSE)/100,"n/a")</f>
        <v>0.60329999999999995</v>
      </c>
      <c r="S91" s="117"/>
      <c r="T91" s="142" t="str">
        <f>IF(VLOOKUP($A91,[1]FE!$A$2:$G$498,3,FALSE)="N/A","n/a",IFERROR(VLOOKUP($A91,[1]FE!$A$2:$G$498,3,FALSE),"n/a"))</f>
        <v>2.72%</v>
      </c>
      <c r="U91" s="138" t="str">
        <f>IF(VLOOKUP($A91,[1]FE!$A$2:$G$498,4,FALSE)="N/A","n/a",IFERROR(VLOOKUP($A91,[1]FE!$A$2:$G$498,4,FALSE),"n/a"))</f>
        <v>4.65%</v>
      </c>
      <c r="V91" s="142" t="str">
        <f>IF(VLOOKUP($A91,[1]FE!$A$2:$G$498,5,FALSE)="N/A","n/a",IFERROR(VLOOKUP($A91,[1]FE!$A$2:$G$498,5,FALSE),"n/a"))</f>
        <v>16.25%</v>
      </c>
      <c r="W91" s="138" t="str">
        <f>IF(VLOOKUP($A91,[1]FE!$A$2:$G$498,6,FALSE)="N/A","n/a",IFERROR(VLOOKUP($A91,[1]FE!$A$2:$G$498,6,FALSE),"n/a"))</f>
        <v>10.68%</v>
      </c>
      <c r="X91" s="142" t="str">
        <f>IF(VLOOKUP($A91,[1]FE!$A$2:$G$498,7,FALSE)="N/A","n/a",IFERROR(VLOOKUP($A91,[1]FE!$A$2:$G$498,7,FALSE),"n/a"))</f>
        <v>15.60%</v>
      </c>
    </row>
    <row r="92" spans="1:24" ht="18.75">
      <c r="A92" s="151" t="s">
        <v>376</v>
      </c>
      <c r="B92" s="130" t="s">
        <v>298</v>
      </c>
      <c r="C92" s="148" t="str">
        <f>VLOOKUP(A92,'[1]mFund List'!$A$2:$B$311,2,FALSE)</f>
        <v xml:space="preserve">Invesco Wholesale Global Matrix Fund - hedged - Class A </v>
      </c>
      <c r="D92" s="149"/>
      <c r="E92" s="116"/>
      <c r="F92" s="133" t="str">
        <f>_xlfn.IFNA(VLOOKUP(A92,'[1]mFund List'!$A$2:$I$200,6,FALSE),"n/a")</f>
        <v>0.75%</v>
      </c>
      <c r="G92" s="134">
        <f>_xlfn.IFNA(VLOOKUP(A92,'[1]mFund List'!$A$2:$J$200,8,FALSE)/1000000,"n/a")</f>
        <v>0.84354075394239991</v>
      </c>
      <c r="H92" s="135">
        <f>_xlfn.IFNA(VLOOKUP(A92,'[1]mFund List'!$A$2:$N$200,14,FALSE)/1000000,"n/a")</f>
        <v>-8.1881592643600079E-2</v>
      </c>
      <c r="I92" s="134">
        <f>_xlfn.IFNA(VLOOKUP(A92,'[1]mFund List'!$A$2:$R$200,18,FALSE)/1000000,"n/a")</f>
        <v>-8.3901127931399949E-2</v>
      </c>
      <c r="J92" s="136">
        <f>_xlfn.IFNA(VLOOKUP(A92,[1]IRESS!$A$10:$F$875,5,FALSE),"n/a")</f>
        <v>84320.260000000009</v>
      </c>
      <c r="K92" s="137">
        <f>_xlfn.IFNA(VLOOKUP(A92,[1]IRESS!$A$11:$G$684,7,FALSE),"n/a")</f>
        <v>107469.102</v>
      </c>
      <c r="L92" s="136">
        <f>_xlfn.IFNA(VLOOKUP(A92,[1]IRESS!$A$10:$F$875,4,FALSE),"n/a")</f>
        <v>2</v>
      </c>
      <c r="M92" s="138">
        <f t="shared" si="1"/>
        <v>9.9959912554216337E-2</v>
      </c>
      <c r="N92" s="139" t="e">
        <f>VLOOKUP(A92,[1]Spreads!$A$1:$G$87,2,FALSE)</f>
        <v>#N/A</v>
      </c>
      <c r="O92" s="137" t="e">
        <f>VLOOKUP(A92,[1]Spreads!$A$1:$G$87,5,FALSE)/1000</f>
        <v>#N/A</v>
      </c>
      <c r="P92" s="140" t="e">
        <f>VLOOKUP(A92,[1]Spreads!$A$1:$G$87,6,FALSE)/1000</f>
        <v>#N/A</v>
      </c>
      <c r="R92" s="141">
        <f>_xlfn.IFNA(VLOOKUP($A92,[1]IRESS!$A$11:$AE$696,6,FALSE)/100,"n/a")</f>
        <v>0.78069999999999995</v>
      </c>
      <c r="S92" s="117"/>
      <c r="T92" s="142" t="str">
        <f>IF(VLOOKUP($A92,[1]FE!$A$2:$G$498,3,FALSE)="N/A","n/a",IFERROR(VLOOKUP($A92,[1]FE!$A$2:$G$498,3,FALSE),"n/a"))</f>
        <v>0.62%</v>
      </c>
      <c r="U92" s="138" t="str">
        <f>IF(VLOOKUP($A92,[1]FE!$A$2:$G$498,4,FALSE)="N/A","n/a",IFERROR(VLOOKUP($A92,[1]FE!$A$2:$G$498,4,FALSE),"n/a"))</f>
        <v>4.18%</v>
      </c>
      <c r="V92" s="142" t="str">
        <f>IF(VLOOKUP($A92,[1]FE!$A$2:$G$498,5,FALSE)="N/A","n/a",IFERROR(VLOOKUP($A92,[1]FE!$A$2:$G$498,5,FALSE),"n/a"))</f>
        <v>12.88%</v>
      </c>
      <c r="W92" s="138" t="str">
        <f>IF(VLOOKUP($A92,[1]FE!$A$2:$G$498,6,FALSE)="N/A","n/a",IFERROR(VLOOKUP($A92,[1]FE!$A$2:$G$498,6,FALSE),"n/a"))</f>
        <v>11.05%</v>
      </c>
      <c r="X92" s="142" t="str">
        <f>IF(VLOOKUP($A92,[1]FE!$A$2:$G$498,7,FALSE)="N/A","n/a",IFERROR(VLOOKUP($A92,[1]FE!$A$2:$G$498,7,FALSE),"n/a"))</f>
        <v>13.93%</v>
      </c>
    </row>
    <row r="93" spans="1:24" ht="18.75">
      <c r="A93" s="151" t="s">
        <v>377</v>
      </c>
      <c r="B93" s="130" t="s">
        <v>298</v>
      </c>
      <c r="C93" s="148" t="str">
        <f>VLOOKUP(A93,'[1]mFund List'!$A$2:$B$311,2,FALSE)</f>
        <v>Morningstar International Shares (Unhedged) Fund</v>
      </c>
      <c r="D93" s="149"/>
      <c r="E93" s="116"/>
      <c r="F93" s="133" t="str">
        <f>_xlfn.IFNA(VLOOKUP(A93,'[1]mFund List'!$A$2:$I$200,6,FALSE),"n/a")</f>
        <v>0.51%</v>
      </c>
      <c r="G93" s="134">
        <f>_xlfn.IFNA(VLOOKUP(A93,'[1]mFund List'!$A$2:$J$200,8,FALSE)/1000000,"n/a")</f>
        <v>1.6856485283923996</v>
      </c>
      <c r="H93" s="135">
        <f>_xlfn.IFNA(VLOOKUP(A93,'[1]mFund List'!$A$2:$N$200,14,FALSE)/1000000,"n/a")</f>
        <v>-1.7789501332000364E-2</v>
      </c>
      <c r="I93" s="134">
        <f>_xlfn.IFNA(VLOOKUP(A93,'[1]mFund List'!$A$2:$R$200,18,FALSE)/1000000,"n/a")</f>
        <v>-4.2181536248799979E-2</v>
      </c>
      <c r="J93" s="136">
        <f>_xlfn.IFNA(VLOOKUP(A93,[1]IRESS!$A$10:$F$875,5,FALSE),"n/a")</f>
        <v>42795.68</v>
      </c>
      <c r="K93" s="137">
        <f>_xlfn.IFNA(VLOOKUP(A93,[1]IRESS!$A$11:$G$684,7,FALSE),"n/a")</f>
        <v>40564.239999999998</v>
      </c>
      <c r="L93" s="136">
        <f>_xlfn.IFNA(VLOOKUP(A93,[1]IRESS!$A$10:$F$875,4,FALSE),"n/a")</f>
        <v>1</v>
      </c>
      <c r="M93" s="138">
        <f t="shared" si="1"/>
        <v>2.5388258156529328E-2</v>
      </c>
      <c r="N93" s="139" t="e">
        <f>VLOOKUP(A93,[1]Spreads!$A$1:$G$87,2,FALSE)</f>
        <v>#N/A</v>
      </c>
      <c r="O93" s="137" t="e">
        <f>VLOOKUP(A93,[1]Spreads!$A$1:$G$87,5,FALSE)/1000</f>
        <v>#N/A</v>
      </c>
      <c r="P93" s="140" t="e">
        <f>VLOOKUP(A93,[1]Spreads!$A$1:$G$87,6,FALSE)/1000</f>
        <v>#N/A</v>
      </c>
      <c r="R93" s="141">
        <f>_xlfn.IFNA(VLOOKUP($A93,[1]IRESS!$A$11:$AE$696,6,FALSE)/100,"n/a")</f>
        <v>1.0398699999999999</v>
      </c>
      <c r="S93" s="117"/>
      <c r="T93" s="142" t="str">
        <f>IF(VLOOKUP($A93,[1]FE!$A$2:$G$498,3,FALSE)="N/A","n/a",IFERROR(VLOOKUP($A93,[1]FE!$A$2:$G$498,3,FALSE),"n/a"))</f>
        <v>1.43%</v>
      </c>
      <c r="U93" s="138" t="str">
        <f>IF(VLOOKUP($A93,[1]FE!$A$2:$G$498,4,FALSE)="N/A","n/a",IFERROR(VLOOKUP($A93,[1]FE!$A$2:$G$498,4,FALSE),"n/a"))</f>
        <v>3.38%</v>
      </c>
      <c r="V93" s="142" t="str">
        <f>IF(VLOOKUP($A93,[1]FE!$A$2:$G$498,5,FALSE)="N/A","n/a",IFERROR(VLOOKUP($A93,[1]FE!$A$2:$G$498,5,FALSE),"n/a"))</f>
        <v>14.11%</v>
      </c>
      <c r="W93" s="138" t="str">
        <f>IF(VLOOKUP($A93,[1]FE!$A$2:$G$498,6,FALSE)="N/A","n/a",IFERROR(VLOOKUP($A93,[1]FE!$A$2:$G$498,6,FALSE),"n/a"))</f>
        <v>9.74%</v>
      </c>
      <c r="X93" s="142" t="str">
        <f>IF(VLOOKUP($A93,[1]FE!$A$2:$G$498,7,FALSE)="N/A","n/a",IFERROR(VLOOKUP($A93,[1]FE!$A$2:$G$498,7,FALSE),"n/a"))</f>
        <v>15.19%</v>
      </c>
    </row>
    <row r="94" spans="1:24" ht="18.75">
      <c r="A94" s="151" t="s">
        <v>378</v>
      </c>
      <c r="B94" s="130" t="s">
        <v>298</v>
      </c>
      <c r="C94" s="148" t="str">
        <f>VLOOKUP(A94,'[1]mFund List'!$A$2:$B$311,2,FALSE)</f>
        <v>Morningstar International Shares (Hedged) Fund</v>
      </c>
      <c r="D94" s="149"/>
      <c r="E94" s="116"/>
      <c r="F94" s="133" t="str">
        <f>_xlfn.IFNA(VLOOKUP(A94,'[1]mFund List'!$A$2:$I$200,6,FALSE),"n/a")</f>
        <v>0.56%</v>
      </c>
      <c r="G94" s="134">
        <f>_xlfn.IFNA(VLOOKUP(A94,'[1]mFund List'!$A$2:$J$200,8,FALSE)/1000000,"n/a")</f>
        <v>1.2704444404919999</v>
      </c>
      <c r="H94" s="135">
        <f>_xlfn.IFNA(VLOOKUP(A94,'[1]mFund List'!$A$2:$N$200,14,FALSE)/1000000,"n/a")</f>
        <v>0.11324584691549977</v>
      </c>
      <c r="I94" s="134">
        <f>_xlfn.IFNA(VLOOKUP(A94,'[1]mFund List'!$A$2:$R$200,18,FALSE)/1000000,"n/a")</f>
        <v>0.11580845057099985</v>
      </c>
      <c r="J94" s="136">
        <f>_xlfn.IFNA(VLOOKUP(A94,[1]IRESS!$A$10:$F$875,5,FALSE),"n/a")</f>
        <v>221480.66</v>
      </c>
      <c r="K94" s="137">
        <f>_xlfn.IFNA(VLOOKUP(A94,[1]IRESS!$A$11:$G$684,7,FALSE),"n/a")</f>
        <v>457318.52999999997</v>
      </c>
      <c r="L94" s="136">
        <f>_xlfn.IFNA(VLOOKUP(A94,[1]IRESS!$A$10:$F$875,4,FALSE),"n/a")</f>
        <v>4</v>
      </c>
      <c r="M94" s="138">
        <f t="shared" si="1"/>
        <v>0.17433321201691282</v>
      </c>
      <c r="N94" s="139" t="e">
        <f>VLOOKUP(A94,[1]Spreads!$A$1:$G$87,2,FALSE)</f>
        <v>#N/A</v>
      </c>
      <c r="O94" s="137" t="e">
        <f>VLOOKUP(A94,[1]Spreads!$A$1:$G$87,5,FALSE)/1000</f>
        <v>#N/A</v>
      </c>
      <c r="P94" s="140" t="e">
        <f>VLOOKUP(A94,[1]Spreads!$A$1:$G$87,6,FALSE)/1000</f>
        <v>#N/A</v>
      </c>
      <c r="R94" s="141">
        <f>_xlfn.IFNA(VLOOKUP($A94,[1]IRESS!$A$11:$AE$696,6,FALSE)/100,"n/a")</f>
        <v>0.47310000000000002</v>
      </c>
      <c r="S94" s="117"/>
      <c r="T94" s="142" t="str">
        <f>IF(VLOOKUP($A94,[1]FE!$A$2:$G$498,3,FALSE)="N/A","n/a",IFERROR(VLOOKUP($A94,[1]FE!$A$2:$G$498,3,FALSE),"n/a"))</f>
        <v>-0.23%</v>
      </c>
      <c r="U94" s="138" t="str">
        <f>IF(VLOOKUP($A94,[1]FE!$A$2:$G$498,4,FALSE)="N/A","n/a",IFERROR(VLOOKUP($A94,[1]FE!$A$2:$G$498,4,FALSE),"n/a"))</f>
        <v>2.03%</v>
      </c>
      <c r="V94" s="142" t="str">
        <f>IF(VLOOKUP($A94,[1]FE!$A$2:$G$498,5,FALSE)="N/A","n/a",IFERROR(VLOOKUP($A94,[1]FE!$A$2:$G$498,5,FALSE),"n/a"))</f>
        <v>10.52%</v>
      </c>
      <c r="W94" s="138" t="str">
        <f>IF(VLOOKUP($A94,[1]FE!$A$2:$G$498,6,FALSE)="N/A","n/a",IFERROR(VLOOKUP($A94,[1]FE!$A$2:$G$498,6,FALSE),"n/a"))</f>
        <v>9.42%</v>
      </c>
      <c r="X94" s="142" t="str">
        <f>IF(VLOOKUP($A94,[1]FE!$A$2:$G$498,7,FALSE)="N/A","n/a",IFERROR(VLOOKUP($A94,[1]FE!$A$2:$G$498,7,FALSE),"n/a"))</f>
        <v>13.18%</v>
      </c>
    </row>
    <row r="95" spans="1:24" ht="18.75">
      <c r="A95" s="151" t="s">
        <v>379</v>
      </c>
      <c r="B95" s="130" t="s">
        <v>298</v>
      </c>
      <c r="C95" s="148" t="str">
        <f>VLOOKUP(A95,'[1]mFund List'!$A$2:$B$311,2,FALSE)</f>
        <v>Morningstar International Shares High Opps(U) Fund</v>
      </c>
      <c r="D95" s="149"/>
      <c r="E95" s="116"/>
      <c r="F95" s="133" t="str">
        <f>_xlfn.IFNA(VLOOKUP(A95,'[1]mFund List'!$A$2:$I$200,6,FALSE),"n/a")</f>
        <v>1.03%</v>
      </c>
      <c r="G95" s="134">
        <f>_xlfn.IFNA(VLOOKUP(A95,'[1]mFund List'!$A$2:$J$200,8,FALSE)/1000000,"n/a")</f>
        <v>0.19078420379210001</v>
      </c>
      <c r="H95" s="135">
        <f>_xlfn.IFNA(VLOOKUP(A95,'[1]mFund List'!$A$2:$N$200,14,FALSE)/1000000,"n/a")</f>
        <v>3.6270234661000141E-3</v>
      </c>
      <c r="I95" s="134">
        <f>_xlfn.IFNA(VLOOKUP(A95,'[1]mFund List'!$A$2:$R$200,18,FALSE)/1000000,"n/a")</f>
        <v>0</v>
      </c>
      <c r="J95" s="136" t="str">
        <f>_xlfn.IFNA(VLOOKUP(A95,[1]IRESS!$A$10:$F$875,5,FALSE),"n/a")</f>
        <v>0</v>
      </c>
      <c r="K95" s="137" t="str">
        <f>_xlfn.IFNA(VLOOKUP(A95,[1]IRESS!$A$11:$G$684,7,FALSE),"n/a")</f>
        <v>0</v>
      </c>
      <c r="L95" s="136" t="str">
        <f>_xlfn.IFNA(VLOOKUP(A95,[1]IRESS!$A$10:$F$875,4,FALSE),"n/a")</f>
        <v>0</v>
      </c>
      <c r="M95" s="138">
        <f t="shared" si="1"/>
        <v>0</v>
      </c>
      <c r="N95" s="139" t="e">
        <f>VLOOKUP(A95,[1]Spreads!$A$1:$G$87,2,FALSE)</f>
        <v>#N/A</v>
      </c>
      <c r="O95" s="137" t="e">
        <f>VLOOKUP(A95,[1]Spreads!$A$1:$G$87,5,FALSE)/1000</f>
        <v>#N/A</v>
      </c>
      <c r="P95" s="140" t="e">
        <f>VLOOKUP(A95,[1]Spreads!$A$1:$G$87,6,FALSE)/1000</f>
        <v>#N/A</v>
      </c>
      <c r="R95" s="141">
        <f>_xlfn.IFNA(VLOOKUP($A95,[1]IRESS!$A$11:$AE$696,6,FALSE)/100,"n/a")</f>
        <v>1.9288700000000001</v>
      </c>
      <c r="S95" s="117"/>
      <c r="T95" s="142" t="str">
        <f>IF(VLOOKUP($A95,[1]FE!$A$2:$G$498,3,FALSE)="N/A","n/a",IFERROR(VLOOKUP($A95,[1]FE!$A$2:$G$498,3,FALSE),"n/a"))</f>
        <v>1.91%</v>
      </c>
      <c r="U95" s="138" t="str">
        <f>IF(VLOOKUP($A95,[1]FE!$A$2:$G$498,4,FALSE)="N/A","n/a",IFERROR(VLOOKUP($A95,[1]FE!$A$2:$G$498,4,FALSE),"n/a"))</f>
        <v>4.26%</v>
      </c>
      <c r="V95" s="142" t="str">
        <f>IF(VLOOKUP($A95,[1]FE!$A$2:$G$498,5,FALSE)="N/A","n/a",IFERROR(VLOOKUP($A95,[1]FE!$A$2:$G$498,5,FALSE),"n/a"))</f>
        <v>13.25%</v>
      </c>
      <c r="W95" s="138" t="str">
        <f>IF(VLOOKUP($A95,[1]FE!$A$2:$G$498,6,FALSE)="N/A","n/a",IFERROR(VLOOKUP($A95,[1]FE!$A$2:$G$498,6,FALSE),"n/a"))</f>
        <v>9.38%</v>
      </c>
      <c r="X95" s="142" t="str">
        <f>IF(VLOOKUP($A95,[1]FE!$A$2:$G$498,7,FALSE)="N/A","n/a",IFERROR(VLOOKUP($A95,[1]FE!$A$2:$G$498,7,FALSE),"n/a"))</f>
        <v>14.12%</v>
      </c>
    </row>
    <row r="96" spans="1:24" ht="18.75">
      <c r="A96" s="151" t="s">
        <v>380</v>
      </c>
      <c r="B96" s="130" t="s">
        <v>298</v>
      </c>
      <c r="C96" s="148" t="str">
        <f>VLOOKUP(A96,'[1]mFund List'!$A$2:$B$311,2,FALSE)</f>
        <v>Insync Global Titans</v>
      </c>
      <c r="D96" s="149"/>
      <c r="E96" s="116"/>
      <c r="F96" s="133" t="str">
        <f>_xlfn.IFNA(VLOOKUP(A96,'[1]mFund List'!$A$2:$I$200,6,FALSE),"n/a")</f>
        <v>1.34%</v>
      </c>
      <c r="G96" s="134">
        <f>_xlfn.IFNA(VLOOKUP(A96,'[1]mFund List'!$A$2:$J$200,8,FALSE)/1000000,"n/a")</f>
        <v>7.6595361255517505</v>
      </c>
      <c r="H96" s="135">
        <f>_xlfn.IFNA(VLOOKUP(A96,'[1]mFund List'!$A$2:$N$200,14,FALSE)/1000000,"n/a")</f>
        <v>0.46339836200823076</v>
      </c>
      <c r="I96" s="134">
        <f>_xlfn.IFNA(VLOOKUP(A96,'[1]mFund List'!$A$2:$R$200,18,FALSE)/1000000,"n/a")</f>
        <v>0.21126930021945042</v>
      </c>
      <c r="J96" s="136">
        <f>_xlfn.IFNA(VLOOKUP(A96,[1]IRESS!$A$10:$F$875,5,FALSE),"n/a")</f>
        <v>210000</v>
      </c>
      <c r="K96" s="137">
        <f>_xlfn.IFNA(VLOOKUP(A96,[1]IRESS!$A$11:$G$684,7,FALSE),"n/a")</f>
        <v>104099.1871</v>
      </c>
      <c r="L96" s="136">
        <f>_xlfn.IFNA(VLOOKUP(A96,[1]IRESS!$A$10:$F$875,4,FALSE),"n/a")</f>
        <v>4</v>
      </c>
      <c r="M96" s="138">
        <f t="shared" si="1"/>
        <v>2.7416803910546576E-2</v>
      </c>
      <c r="N96" s="139" t="e">
        <f>VLOOKUP(A96,[1]Spreads!$A$1:$G$87,2,FALSE)</f>
        <v>#N/A</v>
      </c>
      <c r="O96" s="137" t="e">
        <f>VLOOKUP(A96,[1]Spreads!$A$1:$G$87,5,FALSE)/1000</f>
        <v>#N/A</v>
      </c>
      <c r="P96" s="140" t="e">
        <f>VLOOKUP(A96,[1]Spreads!$A$1:$G$87,6,FALSE)/1000</f>
        <v>#N/A</v>
      </c>
      <c r="R96" s="141">
        <f>_xlfn.IFNA(VLOOKUP($A96,[1]IRESS!$A$11:$AE$696,6,FALSE)/100,"n/a")</f>
        <v>2.0295000000000001</v>
      </c>
      <c r="S96" s="117"/>
      <c r="T96" s="142" t="str">
        <f>IF(VLOOKUP($A96,[1]FE!$A$2:$G$498,3,FALSE)="N/A","n/a",IFERROR(VLOOKUP($A96,[1]FE!$A$2:$G$498,3,FALSE),"n/a"))</f>
        <v>3.50%</v>
      </c>
      <c r="U96" s="138" t="str">
        <f>IF(VLOOKUP($A96,[1]FE!$A$2:$G$498,4,FALSE)="N/A","n/a",IFERROR(VLOOKUP($A96,[1]FE!$A$2:$G$498,4,FALSE),"n/a"))</f>
        <v>7.99%</v>
      </c>
      <c r="V96" s="142" t="str">
        <f>IF(VLOOKUP($A96,[1]FE!$A$2:$G$498,5,FALSE)="N/A","n/a",IFERROR(VLOOKUP($A96,[1]FE!$A$2:$G$498,5,FALSE),"n/a"))</f>
        <v>17.25%</v>
      </c>
      <c r="W96" s="138" t="str">
        <f>IF(VLOOKUP($A96,[1]FE!$A$2:$G$498,6,FALSE)="N/A","n/a",IFERROR(VLOOKUP($A96,[1]FE!$A$2:$G$498,6,FALSE),"n/a"))</f>
        <v>9.03%</v>
      </c>
      <c r="X96" s="142" t="str">
        <f>IF(VLOOKUP($A96,[1]FE!$A$2:$G$498,7,FALSE)="N/A","n/a",IFERROR(VLOOKUP($A96,[1]FE!$A$2:$G$498,7,FALSE),"n/a"))</f>
        <v>11.29%</v>
      </c>
    </row>
    <row r="97" spans="1:24" ht="18.75">
      <c r="A97" s="151" t="s">
        <v>381</v>
      </c>
      <c r="B97" s="130" t="s">
        <v>298</v>
      </c>
      <c r="C97" s="148" t="str">
        <f>VLOOKUP(A97,'[1]mFund List'!$A$2:$B$311,2,FALSE)</f>
        <v>Intermede Global Equities</v>
      </c>
      <c r="D97" s="149"/>
      <c r="E97" s="116"/>
      <c r="F97" s="133" t="str">
        <f>_xlfn.IFNA(VLOOKUP(A97,'[1]mFund List'!$A$2:$I$200,6,FALSE),"n/a")</f>
        <v>0.99%</v>
      </c>
      <c r="G97" s="134">
        <f>_xlfn.IFNA(VLOOKUP(A97,'[1]mFund List'!$A$2:$J$200,8,FALSE)/1000000,"n/a")</f>
        <v>0.13969691905798079</v>
      </c>
      <c r="H97" s="135">
        <f>_xlfn.IFNA(VLOOKUP(A97,'[1]mFund List'!$A$2:$N$200,14,FALSE)/1000000,"n/a")</f>
        <v>3.2126971961191739E-3</v>
      </c>
      <c r="I97" s="134">
        <f>_xlfn.IFNA(VLOOKUP(A97,'[1]mFund List'!$A$2:$R$200,18,FALSE)/1000000,"n/a")</f>
        <v>0</v>
      </c>
      <c r="J97" s="136" t="str">
        <f>_xlfn.IFNA(VLOOKUP(A97,[1]IRESS!$A$10:$F$875,5,FALSE),"n/a")</f>
        <v>0</v>
      </c>
      <c r="K97" s="137" t="str">
        <f>_xlfn.IFNA(VLOOKUP(A97,[1]IRESS!$A$11:$G$684,7,FALSE),"n/a")</f>
        <v>0</v>
      </c>
      <c r="L97" s="136" t="str">
        <f>_xlfn.IFNA(VLOOKUP(A97,[1]IRESS!$A$10:$F$875,4,FALSE),"n/a")</f>
        <v>0</v>
      </c>
      <c r="M97" s="138">
        <f t="shared" si="1"/>
        <v>0</v>
      </c>
      <c r="N97" s="139" t="e">
        <f>VLOOKUP(A97,[1]Spreads!$A$1:$G$87,2,FALSE)</f>
        <v>#N/A</v>
      </c>
      <c r="O97" s="137" t="e">
        <f>VLOOKUP(A97,[1]Spreads!$A$1:$G$87,5,FALSE)/1000</f>
        <v>#N/A</v>
      </c>
      <c r="P97" s="140" t="e">
        <f>VLOOKUP(A97,[1]Spreads!$A$1:$G$87,6,FALSE)/1000</f>
        <v>#N/A</v>
      </c>
      <c r="R97" s="141">
        <f>_xlfn.IFNA(VLOOKUP($A97,[1]IRESS!$A$11:$AE$696,6,FALSE)/100,"n/a")</f>
        <v>1.3652279999999999</v>
      </c>
      <c r="S97" s="117"/>
      <c r="T97" s="142" t="str">
        <f>IF(VLOOKUP($A97,[1]FE!$A$2:$G$498,3,FALSE)="N/A","n/a",IFERROR(VLOOKUP($A97,[1]FE!$A$2:$G$498,3,FALSE),"n/a"))</f>
        <v>2.35%</v>
      </c>
      <c r="U97" s="138" t="str">
        <f>IF(VLOOKUP($A97,[1]FE!$A$2:$G$498,4,FALSE)="N/A","n/a",IFERROR(VLOOKUP($A97,[1]FE!$A$2:$G$498,4,FALSE),"n/a"))</f>
        <v>5.56%</v>
      </c>
      <c r="V97" s="142" t="str">
        <f>IF(VLOOKUP($A97,[1]FE!$A$2:$G$498,5,FALSE)="N/A","n/a",IFERROR(VLOOKUP($A97,[1]FE!$A$2:$G$498,5,FALSE),"n/a"))</f>
        <v>15.26%</v>
      </c>
      <c r="W97" s="138" t="str">
        <f>IF(VLOOKUP($A97,[1]FE!$A$2:$G$498,6,FALSE)="N/A","n/a",IFERROR(VLOOKUP($A97,[1]FE!$A$2:$G$498,6,FALSE),"n/a"))</f>
        <v>11.41%</v>
      </c>
      <c r="X97" s="142" t="str">
        <f>IF(VLOOKUP($A97,[1]FE!$A$2:$G$498,7,FALSE)="N/A","n/a",IFERROR(VLOOKUP($A97,[1]FE!$A$2:$G$498,7,FALSE),"n/a"))</f>
        <v>n/a</v>
      </c>
    </row>
    <row r="98" spans="1:24" ht="18.75">
      <c r="A98" s="151" t="s">
        <v>382</v>
      </c>
      <c r="B98" s="130" t="s">
        <v>298</v>
      </c>
      <c r="C98" s="148" t="str">
        <f>VLOOKUP(A98,'[1]mFund List'!$A$2:$B$311,2,FALSE)</f>
        <v>Alpha Global Opportunities Fund</v>
      </c>
      <c r="D98" s="149"/>
      <c r="E98" s="116"/>
      <c r="F98" s="133" t="str">
        <f>_xlfn.IFNA(VLOOKUP(A98,'[1]mFund List'!$A$2:$I$200,6,FALSE),"n/a")</f>
        <v>0.75%</v>
      </c>
      <c r="G98" s="134">
        <f>_xlfn.IFNA(VLOOKUP(A98,'[1]mFund List'!$A$2:$J$200,8,FALSE)/1000000,"n/a")</f>
        <v>2.92571975065E-2</v>
      </c>
      <c r="H98" s="135">
        <f>_xlfn.IFNA(VLOOKUP(A98,'[1]mFund List'!$A$2:$N$200,14,FALSE)/1000000,"n/a")</f>
        <v>3.1571412710000005E-4</v>
      </c>
      <c r="I98" s="134">
        <f>_xlfn.IFNA(VLOOKUP(A98,'[1]mFund List'!$A$2:$R$200,18,FALSE)/1000000,"n/a")</f>
        <v>0</v>
      </c>
      <c r="J98" s="136" t="str">
        <f>_xlfn.IFNA(VLOOKUP(A98,[1]IRESS!$A$10:$F$875,5,FALSE),"n/a")</f>
        <v>0</v>
      </c>
      <c r="K98" s="137" t="str">
        <f>_xlfn.IFNA(VLOOKUP(A98,[1]IRESS!$A$11:$G$684,7,FALSE),"n/a")</f>
        <v>0</v>
      </c>
      <c r="L98" s="136" t="str">
        <f>_xlfn.IFNA(VLOOKUP(A98,[1]IRESS!$A$10:$F$875,4,FALSE),"n/a")</f>
        <v>0</v>
      </c>
      <c r="M98" s="138">
        <f t="shared" si="1"/>
        <v>0</v>
      </c>
      <c r="N98" s="139" t="e">
        <f>VLOOKUP(A98,[1]Spreads!$A$1:$G$87,2,FALSE)</f>
        <v>#N/A</v>
      </c>
      <c r="O98" s="137" t="e">
        <f>VLOOKUP(A98,[1]Spreads!$A$1:$G$87,5,FALSE)/1000</f>
        <v>#N/A</v>
      </c>
      <c r="P98" s="140" t="e">
        <f>VLOOKUP(A98,[1]Spreads!$A$1:$G$87,6,FALSE)/1000</f>
        <v>#N/A</v>
      </c>
      <c r="R98" s="141">
        <f>_xlfn.IFNA(VLOOKUP($A98,[1]IRESS!$A$11:$AE$696,6,FALSE)/100,"n/a")</f>
        <v>0.95450000000000002</v>
      </c>
      <c r="S98" s="117"/>
      <c r="T98" s="142" t="str">
        <f>IF(VLOOKUP($A98,[1]FE!$A$2:$G$498,3,FALSE)="N/A","n/a",IFERROR(VLOOKUP($A98,[1]FE!$A$2:$G$498,3,FALSE),"n/a"))</f>
        <v>1.10%</v>
      </c>
      <c r="U98" s="138" t="str">
        <f>IF(VLOOKUP($A98,[1]FE!$A$2:$G$498,4,FALSE)="N/A","n/a",IFERROR(VLOOKUP($A98,[1]FE!$A$2:$G$498,4,FALSE),"n/a"))</f>
        <v>4.10%</v>
      </c>
      <c r="V98" s="142" t="str">
        <f>IF(VLOOKUP($A98,[1]FE!$A$2:$G$498,5,FALSE)="N/A","n/a",IFERROR(VLOOKUP($A98,[1]FE!$A$2:$G$498,5,FALSE),"n/a"))</f>
        <v>11.60%</v>
      </c>
      <c r="W98" s="138" t="str">
        <f>IF(VLOOKUP($A98,[1]FE!$A$2:$G$498,6,FALSE)="N/A","n/a",IFERROR(VLOOKUP($A98,[1]FE!$A$2:$G$498,6,FALSE),"n/a"))</f>
        <v>8.21%</v>
      </c>
      <c r="X98" s="142" t="str">
        <f>IF(VLOOKUP($A98,[1]FE!$A$2:$G$498,7,FALSE)="N/A","n/a",IFERROR(VLOOKUP($A98,[1]FE!$A$2:$G$498,7,FALSE),"n/a"))</f>
        <v>11.89%</v>
      </c>
    </row>
    <row r="99" spans="1:24" ht="18.75">
      <c r="A99" s="151" t="s">
        <v>383</v>
      </c>
      <c r="B99" s="130" t="s">
        <v>298</v>
      </c>
      <c r="C99" s="148" t="str">
        <f>VLOOKUP(A99,'[1]mFund List'!$A$2:$B$311,2,FALSE)</f>
        <v xml:space="preserve">JPMorgan Global Research Enhanced Index Equity Fund </v>
      </c>
      <c r="D99" s="149"/>
      <c r="E99" s="116"/>
      <c r="F99" s="133" t="str">
        <f>_xlfn.IFNA(VLOOKUP(A99,'[1]mFund List'!$A$2:$I$200,6,FALSE),"n/a")</f>
        <v>0.20%</v>
      </c>
      <c r="G99" s="134">
        <f>_xlfn.IFNA(VLOOKUP(A99,'[1]mFund List'!$A$2:$J$200,8,FALSE)/1000000,"n/a")</f>
        <v>8.228861291520001E-2</v>
      </c>
      <c r="H99" s="135">
        <f>_xlfn.IFNA(VLOOKUP(A99,'[1]mFund List'!$A$2:$N$200,14,FALSE)/1000000,"n/a")</f>
        <v>2.070980145600013E-3</v>
      </c>
      <c r="I99" s="134">
        <f>_xlfn.IFNA(VLOOKUP(A99,'[1]mFund List'!$A$2:$R$200,18,FALSE)/1000000,"n/a")</f>
        <v>0</v>
      </c>
      <c r="J99" s="136" t="str">
        <f>_xlfn.IFNA(VLOOKUP(A99,[1]IRESS!$A$10:$F$875,5,FALSE),"n/a")</f>
        <v>0</v>
      </c>
      <c r="K99" s="137" t="str">
        <f>_xlfn.IFNA(VLOOKUP(A99,[1]IRESS!$A$11:$G$684,7,FALSE),"n/a")</f>
        <v>0</v>
      </c>
      <c r="L99" s="136" t="str">
        <f>_xlfn.IFNA(VLOOKUP(A99,[1]IRESS!$A$10:$F$875,4,FALSE),"n/a")</f>
        <v>0</v>
      </c>
      <c r="M99" s="138">
        <f t="shared" si="1"/>
        <v>0</v>
      </c>
      <c r="N99" s="139" t="e">
        <f>VLOOKUP(A99,[1]Spreads!$A$1:$G$87,2,FALSE)</f>
        <v>#N/A</v>
      </c>
      <c r="O99" s="137" t="e">
        <f>VLOOKUP(A99,[1]Spreads!$A$1:$G$87,5,FALSE)/1000</f>
        <v>#N/A</v>
      </c>
      <c r="P99" s="140" t="e">
        <f>VLOOKUP(A99,[1]Spreads!$A$1:$G$87,6,FALSE)/1000</f>
        <v>#N/A</v>
      </c>
      <c r="R99" s="141">
        <f>_xlfn.IFNA(VLOOKUP($A99,[1]IRESS!$A$11:$AE$696,6,FALSE)/100,"n/a")</f>
        <v>1.3152000000000001</v>
      </c>
      <c r="S99" s="117"/>
      <c r="T99" s="142" t="str">
        <f>IF(VLOOKUP($A99,[1]FE!$A$2:$G$498,3,FALSE)="N/A","n/a",IFERROR(VLOOKUP($A99,[1]FE!$A$2:$G$498,3,FALSE),"n/a"))</f>
        <v>2.58%</v>
      </c>
      <c r="U99" s="138" t="str">
        <f>IF(VLOOKUP($A99,[1]FE!$A$2:$G$498,4,FALSE)="N/A","n/a",IFERROR(VLOOKUP($A99,[1]FE!$A$2:$G$498,4,FALSE),"n/a"))</f>
        <v>6.52%</v>
      </c>
      <c r="V99" s="142" t="str">
        <f>IF(VLOOKUP($A99,[1]FE!$A$2:$G$498,5,FALSE)="N/A","n/a",IFERROR(VLOOKUP($A99,[1]FE!$A$2:$G$498,5,FALSE),"n/a"))</f>
        <v>15.22%</v>
      </c>
      <c r="W99" s="138" t="str">
        <f>IF(VLOOKUP($A99,[1]FE!$A$2:$G$498,6,FALSE)="N/A","n/a",IFERROR(VLOOKUP($A99,[1]FE!$A$2:$G$498,6,FALSE),"n/a"))</f>
        <v>9.67%</v>
      </c>
      <c r="X99" s="142" t="str">
        <f>IF(VLOOKUP($A99,[1]FE!$A$2:$G$498,7,FALSE)="N/A","n/a",IFERROR(VLOOKUP($A99,[1]FE!$A$2:$G$498,7,FALSE),"n/a"))</f>
        <v>n/a</v>
      </c>
    </row>
    <row r="100" spans="1:24" ht="18.75">
      <c r="A100" s="151" t="s">
        <v>384</v>
      </c>
      <c r="B100" s="130" t="s">
        <v>298</v>
      </c>
      <c r="C100" s="148" t="str">
        <f>VLOOKUP(A100,'[1]mFund List'!$A$2:$B$311,2,FALSE)</f>
        <v>Lakehouse Global Growth Fund</v>
      </c>
      <c r="D100" s="149"/>
      <c r="E100" s="116"/>
      <c r="F100" s="133" t="str">
        <f>_xlfn.IFNA(VLOOKUP(A100,'[1]mFund List'!$A$2:$I$200,6,FALSE),"n/a")</f>
        <v>1.30%</v>
      </c>
      <c r="G100" s="134">
        <f>_xlfn.IFNA(VLOOKUP(A100,'[1]mFund List'!$A$2:$J$200,8,FALSE)/1000000,"n/a")</f>
        <v>0</v>
      </c>
      <c r="H100" s="135">
        <f>_xlfn.IFNA(VLOOKUP(A100,'[1]mFund List'!$A$2:$N$200,14,FALSE)/1000000,"n/a")</f>
        <v>0</v>
      </c>
      <c r="I100" s="134">
        <f>_xlfn.IFNA(VLOOKUP(A100,'[1]mFund List'!$A$2:$R$200,18,FALSE)/1000000,"n/a")</f>
        <v>0</v>
      </c>
      <c r="J100" s="136" t="str">
        <f>_xlfn.IFNA(VLOOKUP(A100,[1]IRESS!$A$10:$F$875,5,FALSE),"n/a")</f>
        <v>0</v>
      </c>
      <c r="K100" s="137" t="str">
        <f>_xlfn.IFNA(VLOOKUP(A100,[1]IRESS!$A$11:$G$684,7,FALSE),"n/a")</f>
        <v>0</v>
      </c>
      <c r="L100" s="136" t="str">
        <f>_xlfn.IFNA(VLOOKUP(A100,[1]IRESS!$A$10:$F$875,4,FALSE),"n/a")</f>
        <v>0</v>
      </c>
      <c r="M100" s="138" t="e">
        <f t="shared" si="1"/>
        <v>#DIV/0!</v>
      </c>
      <c r="N100" s="139" t="e">
        <f>VLOOKUP(A100,[1]Spreads!$A$1:$G$87,2,FALSE)</f>
        <v>#N/A</v>
      </c>
      <c r="O100" s="137" t="e">
        <f>VLOOKUP(A100,[1]Spreads!$A$1:$G$87,5,FALSE)/1000</f>
        <v>#N/A</v>
      </c>
      <c r="P100" s="140" t="e">
        <f>VLOOKUP(A100,[1]Spreads!$A$1:$G$87,6,FALSE)/1000</f>
        <v>#N/A</v>
      </c>
      <c r="R100" s="141">
        <f>_xlfn.IFNA(VLOOKUP($A100,[1]IRESS!$A$11:$AE$696,6,FALSE)/100,"n/a")</f>
        <v>1.0798000000000001</v>
      </c>
      <c r="S100" s="117"/>
      <c r="T100" s="142" t="str">
        <f>IF(VLOOKUP($A100,[1]FE!$A$2:$G$498,3,FALSE)="N/A","n/a",IFERROR(VLOOKUP($A100,[1]FE!$A$2:$G$498,3,FALSE),"n/a"))</f>
        <v>2.81%</v>
      </c>
      <c r="U100" s="138" t="str">
        <f>IF(VLOOKUP($A100,[1]FE!$A$2:$G$498,4,FALSE)="N/A","n/a",IFERROR(VLOOKUP($A100,[1]FE!$A$2:$G$498,4,FALSE),"n/a"))</f>
        <v>7.89%</v>
      </c>
      <c r="V100" s="142" t="str">
        <f>IF(VLOOKUP($A100,[1]FE!$A$2:$G$498,5,FALSE)="N/A","n/a",IFERROR(VLOOKUP($A100,[1]FE!$A$2:$G$498,5,FALSE),"n/a"))</f>
        <v>n/a</v>
      </c>
      <c r="W100" s="138" t="str">
        <f>IF(VLOOKUP($A100,[1]FE!$A$2:$G$498,6,FALSE)="N/A","n/a",IFERROR(VLOOKUP($A100,[1]FE!$A$2:$G$498,6,FALSE),"n/a"))</f>
        <v>n/a</v>
      </c>
      <c r="X100" s="142" t="str">
        <f>IF(VLOOKUP($A100,[1]FE!$A$2:$G$498,7,FALSE)="N/A","n/a",IFERROR(VLOOKUP($A100,[1]FE!$A$2:$G$498,7,FALSE),"n/a"))</f>
        <v>n/a</v>
      </c>
    </row>
    <row r="101" spans="1:24" ht="18.75">
      <c r="A101" s="151" t="s">
        <v>385</v>
      </c>
      <c r="B101" s="130" t="s">
        <v>298</v>
      </c>
      <c r="C101" s="148" t="str">
        <f>VLOOKUP(A101,'[1]mFund List'!$A$2:$B$311,2,FALSE)</f>
        <v>JPMorgan Global Research Enhanced Index Equity Fund (Hedged)</v>
      </c>
      <c r="D101" s="149"/>
      <c r="E101" s="116"/>
      <c r="F101" s="133" t="str">
        <f>_xlfn.IFNA(VLOOKUP(A101,'[1]mFund List'!$A$2:$I$200,6,FALSE),"n/a")</f>
        <v>0.20%</v>
      </c>
      <c r="G101" s="134">
        <f>_xlfn.IFNA(VLOOKUP(A101,'[1]mFund List'!$A$2:$J$200,8,FALSE)/1000000,"n/a")</f>
        <v>0.59668462496796992</v>
      </c>
      <c r="H101" s="135">
        <f>_xlfn.IFNA(VLOOKUP(A101,'[1]mFund List'!$A$2:$N$200,14,FALSE)/1000000,"n/a")</f>
        <v>-0.11860154375960014</v>
      </c>
      <c r="I101" s="134">
        <f>_xlfn.IFNA(VLOOKUP(A101,'[1]mFund List'!$A$2:$R$200,18,FALSE)/1000000,"n/a")</f>
        <v>-0.12258388940590008</v>
      </c>
      <c r="J101" s="136" t="str">
        <f>_xlfn.IFNA(VLOOKUP(A101,[1]IRESS!$A$10:$F$875,5,FALSE),"n/a")</f>
        <v>0</v>
      </c>
      <c r="K101" s="137" t="str">
        <f>_xlfn.IFNA(VLOOKUP(A101,[1]IRESS!$A$11:$G$684,7,FALSE),"n/a")</f>
        <v>0</v>
      </c>
      <c r="L101" s="136" t="str">
        <f>_xlfn.IFNA(VLOOKUP(A101,[1]IRESS!$A$10:$F$875,4,FALSE),"n/a")</f>
        <v>0</v>
      </c>
      <c r="M101" s="138">
        <f t="shared" si="1"/>
        <v>0</v>
      </c>
      <c r="N101" s="139" t="e">
        <f>VLOOKUP(A101,[1]Spreads!$A$1:$G$87,2,FALSE)</f>
        <v>#N/A</v>
      </c>
      <c r="O101" s="137" t="e">
        <f>VLOOKUP(A101,[1]Spreads!$A$1:$G$87,5,FALSE)/1000</f>
        <v>#N/A</v>
      </c>
      <c r="P101" s="140" t="e">
        <f>VLOOKUP(A101,[1]Spreads!$A$1:$G$87,6,FALSE)/1000</f>
        <v>#N/A</v>
      </c>
      <c r="R101" s="141">
        <f>_xlfn.IFNA(VLOOKUP($A101,[1]IRESS!$A$11:$AE$696,6,FALSE)/100,"n/a")</f>
        <v>1.2643</v>
      </c>
      <c r="S101" s="117"/>
      <c r="T101" s="142" t="str">
        <f>IF(VLOOKUP($A101,[1]FE!$A$2:$G$498,3,FALSE)="N/A","n/a",IFERROR(VLOOKUP($A101,[1]FE!$A$2:$G$498,3,FALSE),"n/a"))</f>
        <v>0.56%</v>
      </c>
      <c r="U101" s="138" t="str">
        <f>IF(VLOOKUP($A101,[1]FE!$A$2:$G$498,4,FALSE)="N/A","n/a",IFERROR(VLOOKUP($A101,[1]FE!$A$2:$G$498,4,FALSE),"n/a"))</f>
        <v>4.76%</v>
      </c>
      <c r="V101" s="142" t="str">
        <f>IF(VLOOKUP($A101,[1]FE!$A$2:$G$498,5,FALSE)="N/A","n/a",IFERROR(VLOOKUP($A101,[1]FE!$A$2:$G$498,5,FALSE),"n/a"))</f>
        <v>11.39%</v>
      </c>
      <c r="W101" s="138" t="str">
        <f>IF(VLOOKUP($A101,[1]FE!$A$2:$G$498,6,FALSE)="N/A","n/a",IFERROR(VLOOKUP($A101,[1]FE!$A$2:$G$498,6,FALSE),"n/a"))</f>
        <v>9.28%</v>
      </c>
      <c r="X101" s="142" t="str">
        <f>IF(VLOOKUP($A101,[1]FE!$A$2:$G$498,7,FALSE)="N/A","n/a",IFERROR(VLOOKUP($A101,[1]FE!$A$2:$G$498,7,FALSE),"n/a"))</f>
        <v>n/a</v>
      </c>
    </row>
    <row r="102" spans="1:24" ht="18.75">
      <c r="A102" s="151" t="s">
        <v>386</v>
      </c>
      <c r="B102" s="130" t="s">
        <v>298</v>
      </c>
      <c r="C102" s="148" t="str">
        <f>VLOOKUP(A102,'[1]mFund List'!$A$2:$B$311,2,FALSE)</f>
        <v>Loftus Peak Global Disruption Fund</v>
      </c>
      <c r="D102" s="149"/>
      <c r="E102" s="116"/>
      <c r="F102" s="133" t="str">
        <f>_xlfn.IFNA(VLOOKUP(A102,'[1]mFund List'!$A$2:$I$200,6,FALSE),"n/a")</f>
        <v>1.20%</v>
      </c>
      <c r="G102" s="134">
        <f>_xlfn.IFNA(VLOOKUP(A102,'[1]mFund List'!$A$2:$J$200,8,FALSE)/1000000,"n/a")</f>
        <v>1.2976783352100798</v>
      </c>
      <c r="H102" s="135">
        <f>_xlfn.IFNA(VLOOKUP(A102,'[1]mFund List'!$A$2:$N$200,14,FALSE)/1000000,"n/a")</f>
        <v>0.27530200215751993</v>
      </c>
      <c r="I102" s="134">
        <f>_xlfn.IFNA(VLOOKUP(A102,'[1]mFund List'!$A$2:$R$200,18,FALSE)/1000000,"n/a")</f>
        <v>0.25457903543723998</v>
      </c>
      <c r="J102" s="136">
        <f>_xlfn.IFNA(VLOOKUP(A102,[1]IRESS!$A$10:$F$875,5,FALSE),"n/a")</f>
        <v>285867.26</v>
      </c>
      <c r="K102" s="137">
        <f>_xlfn.IFNA(VLOOKUP(A102,[1]IRESS!$A$11:$G$684,7,FALSE),"n/a")</f>
        <v>171764.07500000001</v>
      </c>
      <c r="L102" s="136">
        <f>_xlfn.IFNA(VLOOKUP(A102,[1]IRESS!$A$10:$F$875,4,FALSE),"n/a")</f>
        <v>11</v>
      </c>
      <c r="M102" s="138">
        <f t="shared" si="1"/>
        <v>0.22029130967476718</v>
      </c>
      <c r="N102" s="139" t="e">
        <f>VLOOKUP(A102,[1]Spreads!$A$1:$G$87,2,FALSE)</f>
        <v>#N/A</v>
      </c>
      <c r="O102" s="137" t="e">
        <f>VLOOKUP(A102,[1]Spreads!$A$1:$G$87,5,FALSE)/1000</f>
        <v>#N/A</v>
      </c>
      <c r="P102" s="140" t="e">
        <f>VLOOKUP(A102,[1]Spreads!$A$1:$G$87,6,FALSE)/1000</f>
        <v>#N/A</v>
      </c>
      <c r="R102" s="141">
        <f>_xlfn.IFNA(VLOOKUP($A102,[1]IRESS!$A$11:$AE$696,6,FALSE)/100,"n/a")</f>
        <v>1.6056999999999999</v>
      </c>
      <c r="S102" s="117"/>
      <c r="T102" s="142" t="str">
        <f>IF(VLOOKUP($A102,[1]FE!$A$2:$G$498,3,FALSE)="N/A","n/a",IFERROR(VLOOKUP($A102,[1]FE!$A$2:$G$498,3,FALSE),"n/a"))</f>
        <v>2.03%</v>
      </c>
      <c r="U102" s="138" t="str">
        <f>IF(VLOOKUP($A102,[1]FE!$A$2:$G$498,4,FALSE)="N/A","n/a",IFERROR(VLOOKUP($A102,[1]FE!$A$2:$G$498,4,FALSE),"n/a"))</f>
        <v>8.61%</v>
      </c>
      <c r="V102" s="142" t="str">
        <f>IF(VLOOKUP($A102,[1]FE!$A$2:$G$498,5,FALSE)="N/A","n/a",IFERROR(VLOOKUP($A102,[1]FE!$A$2:$G$498,5,FALSE),"n/a"))</f>
        <v>25.49%</v>
      </c>
      <c r="W102" s="138" t="str">
        <f>IF(VLOOKUP($A102,[1]FE!$A$2:$G$498,6,FALSE)="N/A","n/a",IFERROR(VLOOKUP($A102,[1]FE!$A$2:$G$498,6,FALSE),"n/a"))</f>
        <v>14.72%</v>
      </c>
      <c r="X102" s="142" t="str">
        <f>IF(VLOOKUP($A102,[1]FE!$A$2:$G$498,7,FALSE)="N/A","n/a",IFERROR(VLOOKUP($A102,[1]FE!$A$2:$G$498,7,FALSE),"n/a"))</f>
        <v>15.19%</v>
      </c>
    </row>
    <row r="103" spans="1:24" ht="18.75">
      <c r="A103" s="151" t="s">
        <v>387</v>
      </c>
      <c r="B103" s="130" t="s">
        <v>298</v>
      </c>
      <c r="C103" s="148" t="str">
        <f>VLOOKUP(A103,'[1]mFund List'!$A$2:$B$311,2,FALSE)</f>
        <v>Munro Global Growth Fund</v>
      </c>
      <c r="D103" s="149"/>
      <c r="E103" s="116"/>
      <c r="F103" s="133" t="str">
        <f>_xlfn.IFNA(VLOOKUP(A103,'[1]mFund List'!$A$2:$I$200,6,FALSE),"n/a")</f>
        <v>1.35%</v>
      </c>
      <c r="G103" s="134">
        <f>_xlfn.IFNA(VLOOKUP(A103,'[1]mFund List'!$A$2:$J$200,8,FALSE)/1000000,"n/a")</f>
        <v>1.9290117686324399</v>
      </c>
      <c r="H103" s="135">
        <f>_xlfn.IFNA(VLOOKUP(A103,'[1]mFund List'!$A$2:$N$200,14,FALSE)/1000000,"n/a")</f>
        <v>0.53923023033187956</v>
      </c>
      <c r="I103" s="134">
        <f>_xlfn.IFNA(VLOOKUP(A103,'[1]mFund List'!$A$2:$R$200,18,FALSE)/1000000,"n/a")</f>
        <v>0.52405469887364986</v>
      </c>
      <c r="J103" s="136">
        <f>_xlfn.IFNA(VLOOKUP(A103,[1]IRESS!$A$10:$F$875,5,FALSE),"n/a")</f>
        <v>533600</v>
      </c>
      <c r="K103" s="137">
        <f>_xlfn.IFNA(VLOOKUP(A103,[1]IRESS!$A$11:$G$684,7,FALSE),"n/a")</f>
        <v>395841.60349999997</v>
      </c>
      <c r="L103" s="136">
        <f>_xlfn.IFNA(VLOOKUP(A103,[1]IRESS!$A$10:$F$875,4,FALSE),"n/a")</f>
        <v>15</v>
      </c>
      <c r="M103" s="138">
        <f t="shared" si="1"/>
        <v>0.27661832274786596</v>
      </c>
      <c r="N103" s="139" t="e">
        <f>VLOOKUP(A103,[1]Spreads!$A$1:$G$87,2,FALSE)</f>
        <v>#N/A</v>
      </c>
      <c r="O103" s="137" t="e">
        <f>VLOOKUP(A103,[1]Spreads!$A$1:$G$87,5,FALSE)/1000</f>
        <v>#N/A</v>
      </c>
      <c r="P103" s="140" t="e">
        <f>VLOOKUP(A103,[1]Spreads!$A$1:$G$87,6,FALSE)/1000</f>
        <v>#N/A</v>
      </c>
      <c r="R103" s="141">
        <f>_xlfn.IFNA(VLOOKUP($A103,[1]IRESS!$A$11:$AE$696,6,FALSE)/100,"n/a")</f>
        <v>1.3238999999999999</v>
      </c>
      <c r="S103" s="117"/>
      <c r="T103" s="142" t="str">
        <f>IF(VLOOKUP($A103,[1]FE!$A$2:$G$498,3,FALSE)="N/A","n/a",IFERROR(VLOOKUP($A103,[1]FE!$A$2:$G$498,3,FALSE),"n/a"))</f>
        <v>1.09%</v>
      </c>
      <c r="U103" s="138" t="str">
        <f>IF(VLOOKUP($A103,[1]FE!$A$2:$G$498,4,FALSE)="N/A","n/a",IFERROR(VLOOKUP($A103,[1]FE!$A$2:$G$498,4,FALSE),"n/a"))</f>
        <v>3.94%</v>
      </c>
      <c r="V103" s="142" t="str">
        <f>IF(VLOOKUP($A103,[1]FE!$A$2:$G$498,5,FALSE)="N/A","n/a",IFERROR(VLOOKUP($A103,[1]FE!$A$2:$G$498,5,FALSE),"n/a"))</f>
        <v>20.98%</v>
      </c>
      <c r="W103" s="138" t="str">
        <f>IF(VLOOKUP($A103,[1]FE!$A$2:$G$498,6,FALSE)="N/A","n/a",IFERROR(VLOOKUP($A103,[1]FE!$A$2:$G$498,6,FALSE),"n/a"))</f>
        <v>n/a</v>
      </c>
      <c r="X103" s="142" t="str">
        <f>IF(VLOOKUP($A103,[1]FE!$A$2:$G$498,7,FALSE)="N/A","n/a",IFERROR(VLOOKUP($A103,[1]FE!$A$2:$G$498,7,FALSE),"n/a"))</f>
        <v>n/a</v>
      </c>
    </row>
    <row r="104" spans="1:24" ht="18.75">
      <c r="A104" s="151" t="s">
        <v>388</v>
      </c>
      <c r="B104" s="130" t="s">
        <v>298</v>
      </c>
      <c r="C104" s="148" t="str">
        <f>VLOOKUP(A104,'[1]mFund List'!$A$2:$B$311,2,FALSE)</f>
        <v>Janus Henderson Global Natural Resources Fund</v>
      </c>
      <c r="D104" s="149"/>
      <c r="E104" s="116"/>
      <c r="F104" s="133" t="str">
        <f>_xlfn.IFNA(VLOOKUP(A104,'[1]mFund List'!$A$2:$I$200,6,FALSE),"n/a")</f>
        <v>1.36%</v>
      </c>
      <c r="G104" s="134">
        <f>_xlfn.IFNA(VLOOKUP(A104,'[1]mFund List'!$A$2:$J$200,8,FALSE)/1000000,"n/a")</f>
        <v>1.3719149239084802</v>
      </c>
      <c r="H104" s="135">
        <f>_xlfn.IFNA(VLOOKUP(A104,'[1]mFund List'!$A$2:$N$200,14,FALSE)/1000000,"n/a")</f>
        <v>8.2537863264150219E-2</v>
      </c>
      <c r="I104" s="134">
        <f>_xlfn.IFNA(VLOOKUP(A104,'[1]mFund List'!$A$2:$R$200,18,FALSE)/1000000,"n/a")</f>
        <v>6.1605605181120134E-2</v>
      </c>
      <c r="J104" s="136">
        <f>_xlfn.IFNA(VLOOKUP(A104,[1]IRESS!$A$10:$F$875,5,FALSE),"n/a")</f>
        <v>139556.84</v>
      </c>
      <c r="K104" s="137">
        <f>_xlfn.IFNA(VLOOKUP(A104,[1]IRESS!$A$11:$G$684,7,FALSE),"n/a")</f>
        <v>89998.04310000001</v>
      </c>
      <c r="L104" s="136">
        <f>_xlfn.IFNA(VLOOKUP(A104,[1]IRESS!$A$10:$F$875,4,FALSE),"n/a")</f>
        <v>2</v>
      </c>
      <c r="M104" s="138">
        <f t="shared" si="1"/>
        <v>0.10172412120309419</v>
      </c>
      <c r="N104" s="139" t="e">
        <f>VLOOKUP(A104,[1]Spreads!$A$1:$G$87,2,FALSE)</f>
        <v>#N/A</v>
      </c>
      <c r="O104" s="137" t="e">
        <f>VLOOKUP(A104,[1]Spreads!$A$1:$G$87,5,FALSE)/1000</f>
        <v>#N/A</v>
      </c>
      <c r="P104" s="140" t="e">
        <f>VLOOKUP(A104,[1]Spreads!$A$1:$G$87,6,FALSE)/1000</f>
        <v>#N/A</v>
      </c>
      <c r="R104" s="141">
        <f>_xlfn.IFNA(VLOOKUP($A104,[1]IRESS!$A$11:$AE$696,6,FALSE)/100,"n/a")</f>
        <v>1.5712000000000002</v>
      </c>
      <c r="S104" s="117"/>
      <c r="T104" s="142" t="str">
        <f>IF(VLOOKUP($A104,[1]FE!$A$2:$G$498,3,FALSE)="N/A","n/a",IFERROR(VLOOKUP($A104,[1]FE!$A$2:$G$498,3,FALSE),"n/a"))</f>
        <v>1.62%</v>
      </c>
      <c r="U104" s="138" t="str">
        <f>IF(VLOOKUP($A104,[1]FE!$A$2:$G$498,4,FALSE)="N/A","n/a",IFERROR(VLOOKUP($A104,[1]FE!$A$2:$G$498,4,FALSE),"n/a"))</f>
        <v>7.03%</v>
      </c>
      <c r="V104" s="142" t="str">
        <f>IF(VLOOKUP($A104,[1]FE!$A$2:$G$498,5,FALSE)="N/A","n/a",IFERROR(VLOOKUP($A104,[1]FE!$A$2:$G$498,5,FALSE),"n/a"))</f>
        <v>23.51%</v>
      </c>
      <c r="W104" s="138" t="str">
        <f>IF(VLOOKUP($A104,[1]FE!$A$2:$G$498,6,FALSE)="N/A","n/a",IFERROR(VLOOKUP($A104,[1]FE!$A$2:$G$498,6,FALSE),"n/a"))</f>
        <v>8.98%</v>
      </c>
      <c r="X104" s="142" t="str">
        <f>IF(VLOOKUP($A104,[1]FE!$A$2:$G$498,7,FALSE)="N/A","n/a",IFERROR(VLOOKUP($A104,[1]FE!$A$2:$G$498,7,FALSE),"n/a"))</f>
        <v>9.35%</v>
      </c>
    </row>
    <row r="105" spans="1:24" ht="18.75">
      <c r="A105" s="151" t="s">
        <v>389</v>
      </c>
      <c r="B105" s="130" t="s">
        <v>298</v>
      </c>
      <c r="C105" s="148" t="str">
        <f>VLOOKUP(A105,'[1]mFund List'!$A$2:$B$311,2,FALSE)</f>
        <v>Orbis Global Equity Australia Registered Retail</v>
      </c>
      <c r="D105" s="149"/>
      <c r="E105" s="116"/>
      <c r="F105" s="133" t="str">
        <f>_xlfn.IFNA(VLOOKUP(A105,'[1]mFund List'!$A$2:$I$200,6,FALSE),"n/a")</f>
        <v>1.00%</v>
      </c>
      <c r="G105" s="134">
        <f>_xlfn.IFNA(VLOOKUP(A105,'[1]mFund List'!$A$2:$J$200,8,FALSE)/1000000,"n/a")</f>
        <v>19.390376414511902</v>
      </c>
      <c r="H105" s="135">
        <f>_xlfn.IFNA(VLOOKUP(A105,'[1]mFund List'!$A$2:$N$200,14,FALSE)/1000000,"n/a")</f>
        <v>2.6919902062153014</v>
      </c>
      <c r="I105" s="134">
        <f>_xlfn.IFNA(VLOOKUP(A105,'[1]mFund List'!$A$2:$R$200,18,FALSE)/1000000,"n/a")</f>
        <v>2.327593395827702</v>
      </c>
      <c r="J105" s="136">
        <f>_xlfn.IFNA(VLOOKUP(A105,[1]IRESS!$A$10:$F$875,5,FALSE),"n/a")</f>
        <v>2673638.9900000002</v>
      </c>
      <c r="K105" s="137">
        <f>_xlfn.IFNA(VLOOKUP(A105,[1]IRESS!$A$11:$G$684,7,FALSE),"n/a")</f>
        <v>17043.695</v>
      </c>
      <c r="L105" s="136">
        <f>_xlfn.IFNA(VLOOKUP(A105,[1]IRESS!$A$10:$F$875,4,FALSE),"n/a")</f>
        <v>56</v>
      </c>
      <c r="M105" s="138">
        <f t="shared" si="1"/>
        <v>0.13788484209099877</v>
      </c>
      <c r="N105" s="139" t="e">
        <f>VLOOKUP(A105,[1]Spreads!$A$1:$G$87,2,FALSE)</f>
        <v>#N/A</v>
      </c>
      <c r="O105" s="137" t="e">
        <f>VLOOKUP(A105,[1]Spreads!$A$1:$G$87,5,FALSE)/1000</f>
        <v>#N/A</v>
      </c>
      <c r="P105" s="140" t="e">
        <f>VLOOKUP(A105,[1]Spreads!$A$1:$G$87,6,FALSE)/1000</f>
        <v>#N/A</v>
      </c>
      <c r="R105" s="141">
        <f>_xlfn.IFNA(VLOOKUP($A105,[1]IRESS!$A$11:$AE$696,6,FALSE)/100,"n/a")</f>
        <v>156.42269999999999</v>
      </c>
      <c r="S105" s="117"/>
      <c r="T105" s="142" t="str">
        <f>IF(VLOOKUP($A105,[1]FE!$A$2:$G$498,3,FALSE)="N/A","n/a",IFERROR(VLOOKUP($A105,[1]FE!$A$2:$G$498,3,FALSE),"n/a"))</f>
        <v>2.18%</v>
      </c>
      <c r="U105" s="138" t="str">
        <f>IF(VLOOKUP($A105,[1]FE!$A$2:$G$498,4,FALSE)="N/A","n/a",IFERROR(VLOOKUP($A105,[1]FE!$A$2:$G$498,4,FALSE),"n/a"))</f>
        <v>0.90%</v>
      </c>
      <c r="V105" s="142" t="str">
        <f>IF(VLOOKUP($A105,[1]FE!$A$2:$G$498,5,FALSE)="N/A","n/a",IFERROR(VLOOKUP($A105,[1]FE!$A$2:$G$498,5,FALSE),"n/a"))</f>
        <v>13.66%</v>
      </c>
      <c r="W105" s="138" t="str">
        <f>IF(VLOOKUP($A105,[1]FE!$A$2:$G$498,6,FALSE)="N/A","n/a",IFERROR(VLOOKUP($A105,[1]FE!$A$2:$G$498,6,FALSE),"n/a"))</f>
        <v>n/a</v>
      </c>
      <c r="X105" s="142" t="str">
        <f>IF(VLOOKUP($A105,[1]FE!$A$2:$G$498,7,FALSE)="N/A","n/a",IFERROR(VLOOKUP($A105,[1]FE!$A$2:$G$498,7,FALSE),"n/a"))</f>
        <v>n/a</v>
      </c>
    </row>
    <row r="106" spans="1:24" ht="18.75">
      <c r="A106" s="151" t="s">
        <v>390</v>
      </c>
      <c r="B106" s="130" t="s">
        <v>298</v>
      </c>
      <c r="C106" s="148" t="str">
        <f>VLOOKUP(A106,'[1]mFund List'!$A$2:$B$311,2,FALSE)</f>
        <v>Plato Global Shares Income A</v>
      </c>
      <c r="D106" s="149"/>
      <c r="E106" s="116"/>
      <c r="F106" s="133" t="str">
        <f>_xlfn.IFNA(VLOOKUP(A106,'[1]mFund List'!$A$2:$I$200,6,FALSE),"n/a")</f>
        <v>0.99%</v>
      </c>
      <c r="G106" s="134">
        <f>_xlfn.IFNA(VLOOKUP(A106,'[1]mFund List'!$A$2:$J$200,8,FALSE)/1000000,"n/a")</f>
        <v>1.33342573235592</v>
      </c>
      <c r="H106" s="135">
        <f>_xlfn.IFNA(VLOOKUP(A106,'[1]mFund List'!$A$2:$N$200,14,FALSE)/1000000,"n/a")</f>
        <v>-0.27929482173316017</v>
      </c>
      <c r="I106" s="134">
        <f>_xlfn.IFNA(VLOOKUP(A106,'[1]mFund List'!$A$2:$R$200,18,FALSE)/1000000,"n/a")</f>
        <v>-0.29796125474944002</v>
      </c>
      <c r="J106" s="136">
        <f>_xlfn.IFNA(VLOOKUP(A106,[1]IRESS!$A$10:$F$875,5,FALSE),"n/a")</f>
        <v>298044.74</v>
      </c>
      <c r="K106" s="137">
        <f>_xlfn.IFNA(VLOOKUP(A106,[1]IRESS!$A$11:$G$684,7,FALSE),"n/a")</f>
        <v>271235.7524</v>
      </c>
      <c r="L106" s="136">
        <f>_xlfn.IFNA(VLOOKUP(A106,[1]IRESS!$A$10:$F$875,4,FALSE),"n/a")</f>
        <v>4</v>
      </c>
      <c r="M106" s="138">
        <f t="shared" si="1"/>
        <v>0.22351806536192259</v>
      </c>
      <c r="N106" s="139" t="e">
        <f>VLOOKUP(A106,[1]Spreads!$A$1:$G$87,2,FALSE)</f>
        <v>#N/A</v>
      </c>
      <c r="O106" s="137" t="e">
        <f>VLOOKUP(A106,[1]Spreads!$A$1:$G$87,5,FALSE)/1000</f>
        <v>#N/A</v>
      </c>
      <c r="P106" s="140" t="e">
        <f>VLOOKUP(A106,[1]Spreads!$A$1:$G$87,6,FALSE)/1000</f>
        <v>#N/A</v>
      </c>
      <c r="R106" s="141">
        <f>_xlfn.IFNA(VLOOKUP($A106,[1]IRESS!$A$11:$AE$696,6,FALSE)/100,"n/a")</f>
        <v>1.1012</v>
      </c>
      <c r="S106" s="117"/>
      <c r="T106" s="142" t="str">
        <f>IF(VLOOKUP($A106,[1]FE!$A$2:$G$498,3,FALSE)="N/A","n/a",IFERROR(VLOOKUP($A106,[1]FE!$A$2:$G$498,3,FALSE),"n/a"))</f>
        <v>1.82%</v>
      </c>
      <c r="U106" s="138" t="str">
        <f>IF(VLOOKUP($A106,[1]FE!$A$2:$G$498,4,FALSE)="N/A","n/a",IFERROR(VLOOKUP($A106,[1]FE!$A$2:$G$498,4,FALSE),"n/a"))</f>
        <v>4.00%</v>
      </c>
      <c r="V106" s="142" t="str">
        <f>IF(VLOOKUP($A106,[1]FE!$A$2:$G$498,5,FALSE)="N/A","n/a",IFERROR(VLOOKUP($A106,[1]FE!$A$2:$G$498,5,FALSE),"n/a"))</f>
        <v>11.56%</v>
      </c>
      <c r="W106" s="138" t="str">
        <f>IF(VLOOKUP($A106,[1]FE!$A$2:$G$498,6,FALSE)="N/A","n/a",IFERROR(VLOOKUP($A106,[1]FE!$A$2:$G$498,6,FALSE),"n/a"))</f>
        <v>n/a</v>
      </c>
      <c r="X106" s="142" t="str">
        <f>IF(VLOOKUP($A106,[1]FE!$A$2:$G$498,7,FALSE)="N/A","n/a",IFERROR(VLOOKUP($A106,[1]FE!$A$2:$G$498,7,FALSE),"n/a"))</f>
        <v>n/a</v>
      </c>
    </row>
    <row r="107" spans="1:24" ht="18.75">
      <c r="A107" s="151" t="s">
        <v>391</v>
      </c>
      <c r="B107" s="130" t="s">
        <v>298</v>
      </c>
      <c r="C107" s="148" t="str">
        <f>VLOOKUP(A107,'[1]mFund List'!$A$2:$B$311,2,FALSE)</f>
        <v>Schroder Global Core Wholesale</v>
      </c>
      <c r="D107" s="149"/>
      <c r="E107" s="116"/>
      <c r="F107" s="133" t="str">
        <f>_xlfn.IFNA(VLOOKUP(A107,'[1]mFund List'!$A$2:$I$200,6,FALSE),"n/a")</f>
        <v>0.40%</v>
      </c>
      <c r="G107" s="134">
        <f>_xlfn.IFNA(VLOOKUP(A107,'[1]mFund List'!$A$2:$J$200,8,FALSE)/1000000,"n/a")</f>
        <v>2.0170268323986398</v>
      </c>
      <c r="H107" s="135">
        <f>_xlfn.IFNA(VLOOKUP(A107,'[1]mFund List'!$A$2:$N$200,14,FALSE)/1000000,"n/a")</f>
        <v>-0.12089038531463012</v>
      </c>
      <c r="I107" s="134">
        <f>_xlfn.IFNA(VLOOKUP(A107,'[1]mFund List'!$A$2:$R$200,18,FALSE)/1000000,"n/a")</f>
        <v>-0.16562240184879998</v>
      </c>
      <c r="J107" s="136">
        <f>_xlfn.IFNA(VLOOKUP(A107,[1]IRESS!$A$10:$F$875,5,FALSE),"n/a")</f>
        <v>168394.87000000002</v>
      </c>
      <c r="K107" s="137">
        <f>_xlfn.IFNA(VLOOKUP(A107,[1]IRESS!$A$11:$G$684,7,FALSE),"n/a")</f>
        <v>259108.89279999997</v>
      </c>
      <c r="L107" s="136">
        <f>_xlfn.IFNA(VLOOKUP(A107,[1]IRESS!$A$10:$F$875,4,FALSE),"n/a")</f>
        <v>3</v>
      </c>
      <c r="M107" s="138">
        <f t="shared" si="1"/>
        <v>8.3486678161710695E-2</v>
      </c>
      <c r="N107" s="139" t="e">
        <f>VLOOKUP(A107,[1]Spreads!$A$1:$G$87,2,FALSE)</f>
        <v>#N/A</v>
      </c>
      <c r="O107" s="137" t="e">
        <f>VLOOKUP(A107,[1]Spreads!$A$1:$G$87,5,FALSE)/1000</f>
        <v>#N/A</v>
      </c>
      <c r="P107" s="140" t="e">
        <f>VLOOKUP(A107,[1]Spreads!$A$1:$G$87,6,FALSE)/1000</f>
        <v>#N/A</v>
      </c>
      <c r="R107" s="141">
        <f>_xlfn.IFNA(VLOOKUP($A107,[1]IRESS!$A$11:$AE$696,6,FALSE)/100,"n/a")</f>
        <v>0.63919999999999999</v>
      </c>
      <c r="S107" s="117"/>
      <c r="T107" s="142" t="str">
        <f>IF(VLOOKUP($A107,[1]FE!$A$2:$G$498,3,FALSE)="N/A","n/a",IFERROR(VLOOKUP($A107,[1]FE!$A$2:$G$498,3,FALSE),"n/a"))</f>
        <v>2.09%</v>
      </c>
      <c r="U107" s="138" t="str">
        <f>IF(VLOOKUP($A107,[1]FE!$A$2:$G$498,4,FALSE)="N/A","n/a",IFERROR(VLOOKUP($A107,[1]FE!$A$2:$G$498,4,FALSE),"n/a"))</f>
        <v>4.63%</v>
      </c>
      <c r="V107" s="142" t="str">
        <f>IF(VLOOKUP($A107,[1]FE!$A$2:$G$498,5,FALSE)="N/A","n/a",IFERROR(VLOOKUP($A107,[1]FE!$A$2:$G$498,5,FALSE),"n/a"))</f>
        <v>13.31%</v>
      </c>
      <c r="W107" s="138" t="str">
        <f>IF(VLOOKUP($A107,[1]FE!$A$2:$G$498,6,FALSE)="N/A","n/a",IFERROR(VLOOKUP($A107,[1]FE!$A$2:$G$498,6,FALSE),"n/a"))</f>
        <v>9.30%</v>
      </c>
      <c r="X107" s="142" t="str">
        <f>IF(VLOOKUP($A107,[1]FE!$A$2:$G$498,7,FALSE)="N/A","n/a",IFERROR(VLOOKUP($A107,[1]FE!$A$2:$G$498,7,FALSE),"n/a"))</f>
        <v>14.22%</v>
      </c>
    </row>
    <row r="108" spans="1:24" ht="18.75">
      <c r="A108" s="151" t="s">
        <v>392</v>
      </c>
      <c r="B108" s="130" t="s">
        <v>298</v>
      </c>
      <c r="C108" s="148" t="str">
        <f>VLOOKUP(A108,'[1]mFund List'!$A$2:$B$311,2,FALSE)</f>
        <v>Platinum Global</v>
      </c>
      <c r="D108" s="149"/>
      <c r="E108" s="116"/>
      <c r="F108" s="133" t="str">
        <f>_xlfn.IFNA(VLOOKUP(A108,'[1]mFund List'!$A$2:$I$200,6,FALSE),"n/a")</f>
        <v>1.35%</v>
      </c>
      <c r="G108" s="134">
        <f>_xlfn.IFNA(VLOOKUP(A108,'[1]mFund List'!$A$2:$J$200,8,FALSE)/1000000,"n/a")</f>
        <v>27.365037453221994</v>
      </c>
      <c r="H108" s="135">
        <f>_xlfn.IFNA(VLOOKUP(A108,'[1]mFund List'!$A$2:$N$200,14,FALSE)/1000000,"n/a")</f>
        <v>-0.12076632006170228</v>
      </c>
      <c r="I108" s="134">
        <f>_xlfn.IFNA(VLOOKUP(A108,'[1]mFund List'!$A$2:$R$200,18,FALSE)/1000000,"n/a")</f>
        <v>0.47046661717999871</v>
      </c>
      <c r="J108" s="136">
        <f>_xlfn.IFNA(VLOOKUP(A108,[1]IRESS!$A$10:$F$875,5,FALSE),"n/a")</f>
        <v>797383.89</v>
      </c>
      <c r="K108" s="137">
        <f>_xlfn.IFNA(VLOOKUP(A108,[1]IRESS!$A$11:$G$684,7,FALSE),"n/a")</f>
        <v>534855.02999999991</v>
      </c>
      <c r="L108" s="136">
        <f>_xlfn.IFNA(VLOOKUP(A108,[1]IRESS!$A$10:$F$875,4,FALSE),"n/a")</f>
        <v>38</v>
      </c>
      <c r="M108" s="138">
        <f t="shared" si="1"/>
        <v>2.9138783068104846E-2</v>
      </c>
      <c r="N108" s="139" t="e">
        <f>VLOOKUP(A108,[1]Spreads!$A$1:$G$87,2,FALSE)</f>
        <v>#N/A</v>
      </c>
      <c r="O108" s="137" t="e">
        <f>VLOOKUP(A108,[1]Spreads!$A$1:$G$87,5,FALSE)/1000</f>
        <v>#N/A</v>
      </c>
      <c r="P108" s="140" t="e">
        <f>VLOOKUP(A108,[1]Spreads!$A$1:$G$87,6,FALSE)/1000</f>
        <v>#N/A</v>
      </c>
      <c r="R108" s="141">
        <f>_xlfn.IFNA(VLOOKUP($A108,[1]IRESS!$A$11:$AE$696,6,FALSE)/100,"n/a")</f>
        <v>1.4419999999999999</v>
      </c>
      <c r="S108" s="117"/>
      <c r="T108" s="142" t="str">
        <f>IF(VLOOKUP($A108,[1]FE!$A$2:$G$498,3,FALSE)="N/A","n/a",IFERROR(VLOOKUP($A108,[1]FE!$A$2:$G$498,3,FALSE),"n/a"))</f>
        <v>-2.15%</v>
      </c>
      <c r="U108" s="138" t="str">
        <f>IF(VLOOKUP($A108,[1]FE!$A$2:$G$498,4,FALSE)="N/A","n/a",IFERROR(VLOOKUP($A108,[1]FE!$A$2:$G$498,4,FALSE),"n/a"))</f>
        <v>0.07%</v>
      </c>
      <c r="V108" s="142" t="str">
        <f>IF(VLOOKUP($A108,[1]FE!$A$2:$G$498,5,FALSE)="N/A","n/a",IFERROR(VLOOKUP($A108,[1]FE!$A$2:$G$498,5,FALSE),"n/a"))</f>
        <v>15.56%</v>
      </c>
      <c r="W108" s="138" t="str">
        <f>IF(VLOOKUP($A108,[1]FE!$A$2:$G$498,6,FALSE)="N/A","n/a",IFERROR(VLOOKUP($A108,[1]FE!$A$2:$G$498,6,FALSE),"n/a"))</f>
        <v>9.09%</v>
      </c>
      <c r="X108" s="142" t="str">
        <f>IF(VLOOKUP($A108,[1]FE!$A$2:$G$498,7,FALSE)="N/A","n/a",IFERROR(VLOOKUP($A108,[1]FE!$A$2:$G$498,7,FALSE),"n/a"))</f>
        <v>n/a</v>
      </c>
    </row>
    <row r="109" spans="1:24" ht="18.75">
      <c r="A109" s="151" t="s">
        <v>393</v>
      </c>
      <c r="B109" s="130" t="s">
        <v>298</v>
      </c>
      <c r="C109" s="148" t="str">
        <f>VLOOKUP(A109,'[1]mFund List'!$A$2:$B$311,2,FALSE)</f>
        <v>Peters MacGregor Global</v>
      </c>
      <c r="D109" s="149"/>
      <c r="E109" s="116"/>
      <c r="F109" s="133" t="str">
        <f>_xlfn.IFNA(VLOOKUP(A109,'[1]mFund List'!$A$2:$I$200,6,FALSE),"n/a")</f>
        <v>1.35%</v>
      </c>
      <c r="G109" s="134">
        <f>_xlfn.IFNA(VLOOKUP(A109,'[1]mFund List'!$A$2:$J$200,8,FALSE)/1000000,"n/a")</f>
        <v>2.3803367557649997</v>
      </c>
      <c r="H109" s="135">
        <f>_xlfn.IFNA(VLOOKUP(A109,'[1]mFund List'!$A$2:$N$200,14,FALSE)/1000000,"n/a")</f>
        <v>0.14871303919867984</v>
      </c>
      <c r="I109" s="134">
        <f>_xlfn.IFNA(VLOOKUP(A109,'[1]mFund List'!$A$2:$R$200,18,FALSE)/1000000,"n/a")</f>
        <v>2.3617703828750065E-2</v>
      </c>
      <c r="J109" s="136">
        <f>_xlfn.IFNA(VLOOKUP(A109,[1]IRESS!$A$10:$F$875,5,FALSE),"n/a")</f>
        <v>43562.400000000001</v>
      </c>
      <c r="K109" s="137">
        <f>_xlfn.IFNA(VLOOKUP(A109,[1]IRESS!$A$11:$G$684,7,FALSE),"n/a")</f>
        <v>25908.1659</v>
      </c>
      <c r="L109" s="136">
        <f>_xlfn.IFNA(VLOOKUP(A109,[1]IRESS!$A$10:$F$875,4,FALSE),"n/a")</f>
        <v>4</v>
      </c>
      <c r="M109" s="138">
        <f t="shared" si="1"/>
        <v>1.8300939938223064E-2</v>
      </c>
      <c r="N109" s="139" t="e">
        <f>VLOOKUP(A109,[1]Spreads!$A$1:$G$87,2,FALSE)</f>
        <v>#N/A</v>
      </c>
      <c r="O109" s="137" t="e">
        <f>VLOOKUP(A109,[1]Spreads!$A$1:$G$87,5,FALSE)/1000</f>
        <v>#N/A</v>
      </c>
      <c r="P109" s="140" t="e">
        <f>VLOOKUP(A109,[1]Spreads!$A$1:$G$87,6,FALSE)/1000</f>
        <v>#N/A</v>
      </c>
      <c r="R109" s="141">
        <f>_xlfn.IFNA(VLOOKUP($A109,[1]IRESS!$A$11:$AE$696,6,FALSE)/100,"n/a")</f>
        <v>1.7124999999999999</v>
      </c>
      <c r="S109" s="117"/>
      <c r="T109" s="142" t="str">
        <f>IF(VLOOKUP($A109,[1]FE!$A$2:$G$498,3,FALSE)="N/A","n/a",IFERROR(VLOOKUP($A109,[1]FE!$A$2:$G$498,3,FALSE),"n/a"))</f>
        <v>5.61%</v>
      </c>
      <c r="U109" s="138" t="str">
        <f>IF(VLOOKUP($A109,[1]FE!$A$2:$G$498,4,FALSE)="N/A","n/a",IFERROR(VLOOKUP($A109,[1]FE!$A$2:$G$498,4,FALSE),"n/a"))</f>
        <v>1.85%</v>
      </c>
      <c r="V109" s="142" t="str">
        <f>IF(VLOOKUP($A109,[1]FE!$A$2:$G$498,5,FALSE)="N/A","n/a",IFERROR(VLOOKUP($A109,[1]FE!$A$2:$G$498,5,FALSE),"n/a"))</f>
        <v>4.76%</v>
      </c>
      <c r="W109" s="138" t="str">
        <f>IF(VLOOKUP($A109,[1]FE!$A$2:$G$498,6,FALSE)="N/A","n/a",IFERROR(VLOOKUP($A109,[1]FE!$A$2:$G$498,6,FALSE),"n/a"))</f>
        <v>5.26%</v>
      </c>
      <c r="X109" s="142" t="str">
        <f>IF(VLOOKUP($A109,[1]FE!$A$2:$G$498,7,FALSE)="N/A","n/a",IFERROR(VLOOKUP($A109,[1]FE!$A$2:$G$498,7,FALSE),"n/a"))</f>
        <v>9.68%</v>
      </c>
    </row>
    <row r="110" spans="1:24" s="45" customFormat="1" ht="18.75">
      <c r="A110" s="151" t="s">
        <v>394</v>
      </c>
      <c r="B110" s="130" t="s">
        <v>298</v>
      </c>
      <c r="C110" s="148" t="str">
        <f>VLOOKUP(A110,'[1]mFund List'!$A$2:$B$311,2,FALSE)</f>
        <v>Schroder Global Recovery Fund - Wholesale</v>
      </c>
      <c r="D110" s="149"/>
      <c r="E110" s="116"/>
      <c r="F110" s="133" t="str">
        <f>_xlfn.IFNA(VLOOKUP(A110,'[1]mFund List'!$A$2:$I$200,6,FALSE),"n/a")</f>
        <v>0.98%</v>
      </c>
      <c r="G110" s="134">
        <f>_xlfn.IFNA(VLOOKUP(A110,'[1]mFund List'!$A$2:$J$200,8,FALSE)/1000000,"n/a")</f>
        <v>0.10101211512631</v>
      </c>
      <c r="H110" s="135">
        <f>_xlfn.IFNA(VLOOKUP(A110,'[1]mFund List'!$A$2:$N$200,14,FALSE)/1000000,"n/a")</f>
        <v>7.1477319966000504E-4</v>
      </c>
      <c r="I110" s="134">
        <f>_xlfn.IFNA(VLOOKUP(A110,'[1]mFund List'!$A$2:$R$200,18,FALSE)/1000000,"n/a")</f>
        <v>0</v>
      </c>
      <c r="J110" s="136" t="str">
        <f>_xlfn.IFNA(VLOOKUP(A110,[1]IRESS!$A$10:$F$875,5,FALSE),"n/a")</f>
        <v>0</v>
      </c>
      <c r="K110" s="137" t="str">
        <f>_xlfn.IFNA(VLOOKUP(A110,[1]IRESS!$A$11:$G$684,7,FALSE),"n/a")</f>
        <v>0</v>
      </c>
      <c r="L110" s="136" t="str">
        <f>_xlfn.IFNA(VLOOKUP(A110,[1]IRESS!$A$10:$F$875,4,FALSE),"n/a")</f>
        <v>0</v>
      </c>
      <c r="M110" s="138">
        <f t="shared" si="1"/>
        <v>0</v>
      </c>
      <c r="N110" s="139" t="e">
        <f>VLOOKUP(A110,[1]Spreads!$A$1:$G$87,2,FALSE)</f>
        <v>#N/A</v>
      </c>
      <c r="O110" s="137" t="e">
        <f>VLOOKUP(A110,[1]Spreads!$A$1:$G$87,5,FALSE)/1000</f>
        <v>#N/A</v>
      </c>
      <c r="P110" s="140" t="e">
        <f>VLOOKUP(A110,[1]Spreads!$A$1:$G$87,6,FALSE)/1000</f>
        <v>#N/A</v>
      </c>
      <c r="Q110" s="7"/>
      <c r="R110" s="141">
        <f>_xlfn.IFNA(VLOOKUP($A110,[1]IRESS!$A$11:$AE$696,6,FALSE)/100,"n/a")</f>
        <v>1.1023000000000001</v>
      </c>
      <c r="S110" s="117"/>
      <c r="T110" s="142" t="str">
        <f>IF(VLOOKUP($A110,[1]FE!$A$2:$G$498,3,FALSE)="N/A","n/a",IFERROR(VLOOKUP($A110,[1]FE!$A$2:$G$498,3,FALSE),"n/a"))</f>
        <v>0.71%</v>
      </c>
      <c r="U110" s="138" t="str">
        <f>IF(VLOOKUP($A110,[1]FE!$A$2:$G$498,4,FALSE)="N/A","n/a",IFERROR(VLOOKUP($A110,[1]FE!$A$2:$G$498,4,FALSE),"n/a"))</f>
        <v>0.36%</v>
      </c>
      <c r="V110" s="142" t="str">
        <f>IF(VLOOKUP($A110,[1]FE!$A$2:$G$498,5,FALSE)="N/A","n/a",IFERROR(VLOOKUP($A110,[1]FE!$A$2:$G$498,5,FALSE),"n/a"))</f>
        <v>n/a</v>
      </c>
      <c r="W110" s="138" t="str">
        <f>IF(VLOOKUP($A110,[1]FE!$A$2:$G$498,6,FALSE)="N/A","n/a",IFERROR(VLOOKUP($A110,[1]FE!$A$2:$G$498,6,FALSE),"n/a"))</f>
        <v>n/a</v>
      </c>
      <c r="X110" s="142" t="str">
        <f>IF(VLOOKUP($A110,[1]FE!$A$2:$G$498,7,FALSE)="N/A","n/a",IFERROR(VLOOKUP($A110,[1]FE!$A$2:$G$498,7,FALSE),"n/a"))</f>
        <v>n/a</v>
      </c>
    </row>
    <row r="111" spans="1:24" ht="18.75">
      <c r="A111" s="151" t="s">
        <v>395</v>
      </c>
      <c r="B111" s="130" t="s">
        <v>298</v>
      </c>
      <c r="C111" s="148" t="str">
        <f>VLOOKUP(A111,'[1]mFund List'!$A$2:$B$311,2,FALSE)</f>
        <v>Spire Copper Rock Capital Global Smaller Companies</v>
      </c>
      <c r="D111" s="149"/>
      <c r="E111" s="116"/>
      <c r="F111" s="133" t="str">
        <f>_xlfn.IFNA(VLOOKUP(A111,'[1]mFund List'!$A$2:$I$200,6,FALSE),"n/a")</f>
        <v>1.38%</v>
      </c>
      <c r="G111" s="134">
        <f>_xlfn.IFNA(VLOOKUP(A111,'[1]mFund List'!$A$2:$J$200,8,FALSE)/1000000,"n/a")</f>
        <v>0.997777887975</v>
      </c>
      <c r="H111" s="135">
        <f>_xlfn.IFNA(VLOOKUP(A111,'[1]mFund List'!$A$2:$N$200,14,FALSE)/1000000,"n/a")</f>
        <v>2.2666061221000039E-2</v>
      </c>
      <c r="I111" s="134">
        <f>_xlfn.IFNA(VLOOKUP(A111,'[1]mFund List'!$A$2:$R$200,18,FALSE)/1000000,"n/a")</f>
        <v>2.3027581964999991E-2</v>
      </c>
      <c r="J111" s="136">
        <f>_xlfn.IFNA(VLOOKUP(A111,[1]IRESS!$A$10:$F$875,5,FALSE),"n/a")</f>
        <v>23500</v>
      </c>
      <c r="K111" s="137">
        <f>_xlfn.IFNA(VLOOKUP(A111,[1]IRESS!$A$11:$G$684,7,FALSE),"n/a")</f>
        <v>21351.489999999998</v>
      </c>
      <c r="L111" s="136">
        <f>_xlfn.IFNA(VLOOKUP(A111,[1]IRESS!$A$10:$F$875,4,FALSE),"n/a")</f>
        <v>2</v>
      </c>
      <c r="M111" s="138">
        <f t="shared" si="1"/>
        <v>2.3552335928884414E-2</v>
      </c>
      <c r="N111" s="139" t="e">
        <f>VLOOKUP(A111,[1]Spreads!$A$1:$G$87,2,FALSE)</f>
        <v>#N/A</v>
      </c>
      <c r="O111" s="137" t="e">
        <f>VLOOKUP(A111,[1]Spreads!$A$1:$G$87,5,FALSE)/1000</f>
        <v>#N/A</v>
      </c>
      <c r="P111" s="140" t="e">
        <f>VLOOKUP(A111,[1]Spreads!$A$1:$G$87,6,FALSE)/1000</f>
        <v>#N/A</v>
      </c>
      <c r="R111" s="141">
        <f>_xlfn.IFNA(VLOOKUP($A111,[1]IRESS!$A$11:$AE$696,6,FALSE)/100,"n/a")</f>
        <v>1.0785</v>
      </c>
      <c r="S111" s="117"/>
      <c r="T111" s="142" t="str">
        <f>IF(VLOOKUP($A111,[1]FE!$A$2:$G$498,3,FALSE)="N/A","n/a",IFERROR(VLOOKUP($A111,[1]FE!$A$2:$G$498,3,FALSE),"n/a"))</f>
        <v>-0.04%</v>
      </c>
      <c r="U111" s="138" t="str">
        <f>IF(VLOOKUP($A111,[1]FE!$A$2:$G$498,4,FALSE)="N/A","n/a",IFERROR(VLOOKUP($A111,[1]FE!$A$2:$G$498,4,FALSE),"n/a"))</f>
        <v>3.22%</v>
      </c>
      <c r="V111" s="142" t="str">
        <f>IF(VLOOKUP($A111,[1]FE!$A$2:$G$498,5,FALSE)="N/A","n/a",IFERROR(VLOOKUP($A111,[1]FE!$A$2:$G$498,5,FALSE),"n/a"))</f>
        <v>10.16%</v>
      </c>
      <c r="W111" s="138" t="str">
        <f>IF(VLOOKUP($A111,[1]FE!$A$2:$G$498,6,FALSE)="N/A","n/a",IFERROR(VLOOKUP($A111,[1]FE!$A$2:$G$498,6,FALSE),"n/a"))</f>
        <v>5.07%</v>
      </c>
      <c r="X111" s="142" t="str">
        <f>IF(VLOOKUP($A111,[1]FE!$A$2:$G$498,7,FALSE)="N/A","n/a",IFERROR(VLOOKUP($A111,[1]FE!$A$2:$G$498,7,FALSE),"n/a"))</f>
        <v>n/a</v>
      </c>
    </row>
    <row r="112" spans="1:24" ht="18.75">
      <c r="A112" s="151" t="s">
        <v>396</v>
      </c>
      <c r="B112" s="130" t="s">
        <v>298</v>
      </c>
      <c r="C112" s="148" t="str">
        <f>VLOOKUP(A112,'[1]mFund List'!$A$2:$B$311,2,FALSE)</f>
        <v>UBS Global High Conviction Fund</v>
      </c>
      <c r="D112" s="149"/>
      <c r="E112" s="116"/>
      <c r="F112" s="133" t="str">
        <f>_xlfn.IFNA(VLOOKUP(A112,'[1]mFund List'!$A$2:$I$200,6,FALSE),"n/a")</f>
        <v>1.10%</v>
      </c>
      <c r="G112" s="134">
        <f>_xlfn.IFNA(VLOOKUP(A112,'[1]mFund List'!$A$2:$J$200,8,FALSE)/1000000,"n/a")</f>
        <v>4.7144664731999998E-2</v>
      </c>
      <c r="H112" s="135">
        <f>_xlfn.IFNA(VLOOKUP(A112,'[1]mFund List'!$A$2:$N$200,14,FALSE)/1000000,"n/a")</f>
        <v>-2.0257356573999998E-2</v>
      </c>
      <c r="I112" s="134">
        <f>_xlfn.IFNA(VLOOKUP(A112,'[1]mFund List'!$A$2:$R$200,18,FALSE)/1000000,"n/a")</f>
        <v>-2.0058566091999991E-2</v>
      </c>
      <c r="J112" s="136">
        <f>_xlfn.IFNA(VLOOKUP(A112,[1]IRESS!$A$10:$F$875,5,FALSE),"n/a")</f>
        <v>20159.25</v>
      </c>
      <c r="K112" s="137">
        <f>_xlfn.IFNA(VLOOKUP(A112,[1]IRESS!$A$11:$G$684,7,FALSE),"n/a")</f>
        <v>17980.07</v>
      </c>
      <c r="L112" s="136">
        <f>_xlfn.IFNA(VLOOKUP(A112,[1]IRESS!$A$10:$F$875,4,FALSE),"n/a")</f>
        <v>1</v>
      </c>
      <c r="M112" s="138">
        <f t="shared" si="1"/>
        <v>0.42760405900854082</v>
      </c>
      <c r="N112" s="139" t="e">
        <f>VLOOKUP(A112,[1]Spreads!$A$1:$G$87,2,FALSE)</f>
        <v>#N/A</v>
      </c>
      <c r="O112" s="137" t="e">
        <f>VLOOKUP(A112,[1]Spreads!$A$1:$G$87,5,FALSE)/1000</f>
        <v>#N/A</v>
      </c>
      <c r="P112" s="140" t="e">
        <f>VLOOKUP(A112,[1]Spreads!$A$1:$G$87,6,FALSE)/1000</f>
        <v>#N/A</v>
      </c>
      <c r="R112" s="141">
        <f>_xlfn.IFNA(VLOOKUP($A112,[1]IRESS!$A$11:$AE$696,6,FALSE)/100,"n/a")</f>
        <v>1.1155999999999999</v>
      </c>
      <c r="S112" s="117"/>
      <c r="T112" s="142" t="str">
        <f>IF(VLOOKUP($A112,[1]FE!$A$2:$G$498,3,FALSE)="N/A","n/a",IFERROR(VLOOKUP($A112,[1]FE!$A$2:$G$498,3,FALSE),"n/a"))</f>
        <v>0.10%</v>
      </c>
      <c r="U112" s="138" t="str">
        <f>IF(VLOOKUP($A112,[1]FE!$A$2:$G$498,4,FALSE)="N/A","n/a",IFERROR(VLOOKUP($A112,[1]FE!$A$2:$G$498,4,FALSE),"n/a"))</f>
        <v>3.22%</v>
      </c>
      <c r="V112" s="142" t="str">
        <f>IF(VLOOKUP($A112,[1]FE!$A$2:$G$498,5,FALSE)="N/A","n/a",IFERROR(VLOOKUP($A112,[1]FE!$A$2:$G$498,5,FALSE),"n/a"))</f>
        <v>10.33%</v>
      </c>
      <c r="W112" s="138" t="str">
        <f>IF(VLOOKUP($A112,[1]FE!$A$2:$G$498,6,FALSE)="N/A","n/a",IFERROR(VLOOKUP($A112,[1]FE!$A$2:$G$498,6,FALSE),"n/a"))</f>
        <v>n/a</v>
      </c>
      <c r="X112" s="142" t="str">
        <f>IF(VLOOKUP($A112,[1]FE!$A$2:$G$498,7,FALSE)="N/A","n/a",IFERROR(VLOOKUP($A112,[1]FE!$A$2:$G$498,7,FALSE),"n/a"))</f>
        <v>n/a</v>
      </c>
    </row>
    <row r="113" spans="1:24" s="108" customFormat="1" ht="18.75">
      <c r="A113" s="123" t="s">
        <v>115</v>
      </c>
      <c r="B113" s="124"/>
      <c r="C113" s="124"/>
      <c r="D113" s="124"/>
      <c r="E113" s="116"/>
      <c r="F113" s="143"/>
      <c r="G113" s="144"/>
      <c r="H113" s="144"/>
      <c r="I113" s="144"/>
      <c r="J113" s="145"/>
      <c r="K113" s="145"/>
      <c r="L113" s="145"/>
      <c r="M113" s="146"/>
      <c r="N113" s="146"/>
      <c r="O113" s="145"/>
      <c r="P113" s="145"/>
      <c r="Q113" s="7"/>
      <c r="R113" s="147"/>
      <c r="S113" s="117"/>
      <c r="T113" s="125"/>
      <c r="U113" s="125"/>
      <c r="V113" s="125"/>
      <c r="W113" s="125"/>
      <c r="X113" s="125"/>
    </row>
    <row r="114" spans="1:24" ht="18.75">
      <c r="A114" s="151" t="s">
        <v>397</v>
      </c>
      <c r="B114" s="130" t="s">
        <v>298</v>
      </c>
      <c r="C114" s="148" t="str">
        <f>VLOOKUP(A114,'[1]mFund List'!$A$2:$B$311,2,FALSE)</f>
        <v>Aberdeen Asian Opportunities</v>
      </c>
      <c r="D114" s="149"/>
      <c r="E114" s="116"/>
      <c r="F114" s="133" t="str">
        <f>_xlfn.IFNA(VLOOKUP(A114,'[1]mFund List'!$A$2:$I$200,6,FALSE),"n/a")</f>
        <v>1.18%</v>
      </c>
      <c r="G114" s="134">
        <f>_xlfn.IFNA(VLOOKUP(A114,'[1]mFund List'!$A$2:$J$200,8,FALSE)/1000000,"n/a")</f>
        <v>1.9955482305657264</v>
      </c>
      <c r="H114" s="135">
        <f>_xlfn.IFNA(VLOOKUP(A114,'[1]mFund List'!$A$2:$N$200,14,FALSE)/1000000,"n/a")</f>
        <v>-6.9260966156550682E-2</v>
      </c>
      <c r="I114" s="134">
        <f>_xlfn.IFNA(VLOOKUP(A114,'[1]mFund List'!$A$2:$R$200,18,FALSE)/1000000,"n/a")</f>
        <v>-2.5081203069871067E-2</v>
      </c>
      <c r="J114" s="136">
        <f>_xlfn.IFNA(VLOOKUP(A114,[1]IRESS!$A$10:$F$875,5,FALSE),"n/a")</f>
        <v>25123.39</v>
      </c>
      <c r="K114" s="137">
        <f>_xlfn.IFNA(VLOOKUP(A114,[1]IRESS!$A$11:$G$684,7,FALSE),"n/a")</f>
        <v>10545.853370000001</v>
      </c>
      <c r="L114" s="136">
        <f>_xlfn.IFNA(VLOOKUP(A114,[1]IRESS!$A$10:$F$875,4,FALSE),"n/a")</f>
        <v>1</v>
      </c>
      <c r="M114" s="138">
        <f t="shared" si="1"/>
        <v>1.2589718261471268E-2</v>
      </c>
      <c r="N114" s="139" t="e">
        <f>VLOOKUP(A114,[1]Spreads!$A$1:$G$87,2,FALSE)</f>
        <v>#N/A</v>
      </c>
      <c r="O114" s="137" t="e">
        <f>VLOOKUP(A114,[1]Spreads!$A$1:$G$87,5,FALSE)/1000</f>
        <v>#N/A</v>
      </c>
      <c r="P114" s="140" t="e">
        <f>VLOOKUP(A114,[1]Spreads!$A$1:$G$87,6,FALSE)/1000</f>
        <v>#N/A</v>
      </c>
      <c r="R114" s="141">
        <f>_xlfn.IFNA(VLOOKUP($A114,[1]IRESS!$A$11:$AE$696,6,FALSE)/100,"n/a")</f>
        <v>2.3783000000000003</v>
      </c>
      <c r="S114" s="117"/>
      <c r="T114" s="142" t="str">
        <f>IF(VLOOKUP($A114,[1]FE!$A$2:$G$498,3,FALSE)="N/A","n/a",IFERROR(VLOOKUP($A114,[1]FE!$A$2:$G$498,3,FALSE),"n/a"))</f>
        <v>-2.14%</v>
      </c>
      <c r="U114" s="138" t="str">
        <f>IF(VLOOKUP($A114,[1]FE!$A$2:$G$498,4,FALSE)="N/A","n/a",IFERROR(VLOOKUP($A114,[1]FE!$A$2:$G$498,4,FALSE),"n/a"))</f>
        <v>-2.35%</v>
      </c>
      <c r="V114" s="142" t="str">
        <f>IF(VLOOKUP($A114,[1]FE!$A$2:$G$498,5,FALSE)="N/A","n/a",IFERROR(VLOOKUP($A114,[1]FE!$A$2:$G$498,5,FALSE),"n/a"))</f>
        <v>7.85%</v>
      </c>
      <c r="W114" s="138" t="str">
        <f>IF(VLOOKUP($A114,[1]FE!$A$2:$G$498,6,FALSE)="N/A","n/a",IFERROR(VLOOKUP($A114,[1]FE!$A$2:$G$498,6,FALSE),"n/a"))</f>
        <v>5.44%</v>
      </c>
      <c r="X114" s="142" t="str">
        <f>IF(VLOOKUP($A114,[1]FE!$A$2:$G$498,7,FALSE)="N/A","n/a",IFERROR(VLOOKUP($A114,[1]FE!$A$2:$G$498,7,FALSE),"n/a"))</f>
        <v>8.56%</v>
      </c>
    </row>
    <row r="115" spans="1:24" ht="18.75">
      <c r="A115" s="151" t="s">
        <v>398</v>
      </c>
      <c r="B115" s="130" t="s">
        <v>298</v>
      </c>
      <c r="C115" s="148" t="str">
        <f>VLOOKUP(A115,'[1]mFund List'!$A$2:$B$311,2,FALSE)</f>
        <v>Dalton Street Capital Absolute Return Fund</v>
      </c>
      <c r="D115" s="149"/>
      <c r="E115" s="116"/>
      <c r="F115" s="133">
        <f>_xlfn.IFNA(VLOOKUP(A115,'[1]mFund List'!$A$2:$I$200,6,FALSE),"n/a")</f>
        <v>1.4999999999999999E-2</v>
      </c>
      <c r="G115" s="134">
        <f>_xlfn.IFNA(VLOOKUP(A115,'[1]mFund List'!$A$2:$J$200,8,FALSE)/1000000,"n/a")</f>
        <v>1.7956367468613499</v>
      </c>
      <c r="H115" s="135">
        <f>_xlfn.IFNA(VLOOKUP(A115,'[1]mFund List'!$A$2:$N$200,14,FALSE)/1000000,"n/a")</f>
        <v>0.82815015622984978</v>
      </c>
      <c r="I115" s="134">
        <f>_xlfn.IFNA(VLOOKUP(A115,'[1]mFund List'!$A$2:$R$200,18,FALSE)/1000000,"n/a")</f>
        <v>0.87116700423520987</v>
      </c>
      <c r="J115" s="136">
        <f>_xlfn.IFNA(VLOOKUP(A115,[1]IRESS!$A$10:$F$875,5,FALSE),"n/a")</f>
        <v>921500</v>
      </c>
      <c r="K115" s="137">
        <f>_xlfn.IFNA(VLOOKUP(A115,[1]IRESS!$A$11:$G$684,7,FALSE),"n/a")</f>
        <v>739718.94730000012</v>
      </c>
      <c r="L115" s="136">
        <f>_xlfn.IFNA(VLOOKUP(A115,[1]IRESS!$A$10:$F$875,4,FALSE),"n/a")</f>
        <v>24</v>
      </c>
      <c r="M115" s="138">
        <f t="shared" si="1"/>
        <v>0.51318842834483025</v>
      </c>
      <c r="N115" s="139" t="e">
        <f>VLOOKUP(A115,[1]Spreads!$A$1:$G$87,2,FALSE)</f>
        <v>#N/A</v>
      </c>
      <c r="O115" s="137" t="e">
        <f>VLOOKUP(A115,[1]Spreads!$A$1:$G$87,5,FALSE)/1000</f>
        <v>#N/A</v>
      </c>
      <c r="P115" s="140" t="e">
        <f>VLOOKUP(A115,[1]Spreads!$A$1:$G$87,6,FALSE)/1000</f>
        <v>#N/A</v>
      </c>
      <c r="R115" s="141">
        <f>_xlfn.IFNA(VLOOKUP($A115,[1]IRESS!$A$11:$AE$696,6,FALSE)/100,"n/a")</f>
        <v>1.1777</v>
      </c>
      <c r="S115" s="117"/>
      <c r="T115" s="142" t="str">
        <f>IF(VLOOKUP($A115,[1]FE!$A$2:$G$498,3,FALSE)="N/A","n/a",IFERROR(VLOOKUP($A115,[1]FE!$A$2:$G$498,3,FALSE),"n/a"))</f>
        <v>-4.45%</v>
      </c>
      <c r="U115" s="138" t="str">
        <f>IF(VLOOKUP($A115,[1]FE!$A$2:$G$498,4,FALSE)="N/A","n/a",IFERROR(VLOOKUP($A115,[1]FE!$A$2:$G$498,4,FALSE),"n/a"))</f>
        <v>-3.03%</v>
      </c>
      <c r="V115" s="142" t="str">
        <f>IF(VLOOKUP($A115,[1]FE!$A$2:$G$498,5,FALSE)="N/A","n/a",IFERROR(VLOOKUP($A115,[1]FE!$A$2:$G$498,5,FALSE),"n/a"))</f>
        <v>14.57%</v>
      </c>
      <c r="W115" s="138" t="str">
        <f>IF(VLOOKUP($A115,[1]FE!$A$2:$G$498,6,FALSE)="N/A","n/a",IFERROR(VLOOKUP($A115,[1]FE!$A$2:$G$498,6,FALSE),"n/a"))</f>
        <v>n/a</v>
      </c>
      <c r="X115" s="142" t="str">
        <f>IF(VLOOKUP($A115,[1]FE!$A$2:$G$498,7,FALSE)="N/A","n/a",IFERROR(VLOOKUP($A115,[1]FE!$A$2:$G$498,7,FALSE),"n/a"))</f>
        <v>n/a</v>
      </c>
    </row>
    <row r="116" spans="1:24" ht="18.75">
      <c r="A116" s="151" t="s">
        <v>399</v>
      </c>
      <c r="B116" s="130" t="s">
        <v>298</v>
      </c>
      <c r="C116" s="148" t="str">
        <f>VLOOKUP(A116,'[1]mFund List'!$A$2:$B$311,2,FALSE)</f>
        <v>Fidelity Asia</v>
      </c>
      <c r="D116" s="149"/>
      <c r="E116" s="116"/>
      <c r="F116" s="133" t="str">
        <f>_xlfn.IFNA(VLOOKUP(A116,'[1]mFund List'!$A$2:$I$200,6,FALSE),"n/a")</f>
        <v>1.17%</v>
      </c>
      <c r="G116" s="134">
        <f>_xlfn.IFNA(VLOOKUP(A116,'[1]mFund List'!$A$2:$J$200,8,FALSE)/1000000,"n/a")</f>
        <v>4.2975634076759999</v>
      </c>
      <c r="H116" s="135">
        <f>_xlfn.IFNA(VLOOKUP(A116,'[1]mFund List'!$A$2:$N$200,14,FALSE)/1000000,"n/a")</f>
        <v>-7.339976559998468E-4</v>
      </c>
      <c r="I116" s="134">
        <f>_xlfn.IFNA(VLOOKUP(A116,'[1]mFund List'!$A$2:$R$200,18,FALSE)/1000000,"n/a")</f>
        <v>9.7965294591999832E-2</v>
      </c>
      <c r="J116" s="136">
        <f>_xlfn.IFNA(VLOOKUP(A116,[1]IRESS!$A$10:$F$875,5,FALSE),"n/a")</f>
        <v>107000</v>
      </c>
      <c r="K116" s="137">
        <f>_xlfn.IFNA(VLOOKUP(A116,[1]IRESS!$A$11:$G$684,7,FALSE),"n/a")</f>
        <v>5200.6899999999996</v>
      </c>
      <c r="L116" s="136">
        <f>_xlfn.IFNA(VLOOKUP(A116,[1]IRESS!$A$10:$F$875,4,FALSE),"n/a")</f>
        <v>4</v>
      </c>
      <c r="M116" s="138">
        <f t="shared" si="1"/>
        <v>2.4897829269693673E-2</v>
      </c>
      <c r="N116" s="139" t="e">
        <f>VLOOKUP(A116,[1]Spreads!$A$1:$G$87,2,FALSE)</f>
        <v>#N/A</v>
      </c>
      <c r="O116" s="137" t="e">
        <f>VLOOKUP(A116,[1]Spreads!$A$1:$G$87,5,FALSE)/1000</f>
        <v>#N/A</v>
      </c>
      <c r="P116" s="140" t="e">
        <f>VLOOKUP(A116,[1]Spreads!$A$1:$G$87,6,FALSE)/1000</f>
        <v>#N/A</v>
      </c>
      <c r="R116" s="141">
        <f>_xlfn.IFNA(VLOOKUP($A116,[1]IRESS!$A$11:$AE$696,6,FALSE)/100,"n/a")</f>
        <v>19.9727</v>
      </c>
      <c r="S116" s="117"/>
      <c r="T116" s="142" t="str">
        <f>IF(VLOOKUP($A116,[1]FE!$A$2:$G$498,3,FALSE)="N/A","n/a",IFERROR(VLOOKUP($A116,[1]FE!$A$2:$G$498,3,FALSE),"n/a"))</f>
        <v>-2.30%</v>
      </c>
      <c r="U116" s="138" t="str">
        <f>IF(VLOOKUP($A116,[1]FE!$A$2:$G$498,4,FALSE)="N/A","n/a",IFERROR(VLOOKUP($A116,[1]FE!$A$2:$G$498,4,FALSE),"n/a"))</f>
        <v>2.30%</v>
      </c>
      <c r="V116" s="142" t="str">
        <f>IF(VLOOKUP($A116,[1]FE!$A$2:$G$498,5,FALSE)="N/A","n/a",IFERROR(VLOOKUP($A116,[1]FE!$A$2:$G$498,5,FALSE),"n/a"))</f>
        <v>20.59%</v>
      </c>
      <c r="W116" s="138" t="str">
        <f>IF(VLOOKUP($A116,[1]FE!$A$2:$G$498,6,FALSE)="N/A","n/a",IFERROR(VLOOKUP($A116,[1]FE!$A$2:$G$498,6,FALSE),"n/a"))</f>
        <v>14.59%</v>
      </c>
      <c r="X116" s="142" t="str">
        <f>IF(VLOOKUP($A116,[1]FE!$A$2:$G$498,7,FALSE)="N/A","n/a",IFERROR(VLOOKUP($A116,[1]FE!$A$2:$G$498,7,FALSE),"n/a"))</f>
        <v>17.32%</v>
      </c>
    </row>
    <row r="117" spans="1:24" s="45" customFormat="1" ht="18.75">
      <c r="A117" s="151" t="s">
        <v>400</v>
      </c>
      <c r="B117" s="130" t="s">
        <v>298</v>
      </c>
      <c r="C117" s="148" t="str">
        <f>VLOOKUP(A117,'[1]mFund List'!$A$2:$B$311,2,FALSE)</f>
        <v>Fidelity China</v>
      </c>
      <c r="D117" s="149"/>
      <c r="E117" s="116"/>
      <c r="F117" s="133" t="str">
        <f>_xlfn.IFNA(VLOOKUP(A117,'[1]mFund List'!$A$2:$I$200,6,FALSE),"n/a")</f>
        <v>1.21%</v>
      </c>
      <c r="G117" s="134">
        <f>_xlfn.IFNA(VLOOKUP(A117,'[1]mFund List'!$A$2:$J$200,8,FALSE)/1000000,"n/a")</f>
        <v>1.9477105157250003</v>
      </c>
      <c r="H117" s="135">
        <f>_xlfn.IFNA(VLOOKUP(A117,'[1]mFund List'!$A$2:$N$200,14,FALSE)/1000000,"n/a")</f>
        <v>-6.2474596106999555E-2</v>
      </c>
      <c r="I117" s="134">
        <f>_xlfn.IFNA(VLOOKUP(A117,'[1]mFund List'!$A$2:$R$200,18,FALSE)/1000000,"n/a")</f>
        <v>8.9990306100013156E-4</v>
      </c>
      <c r="J117" s="136">
        <f>_xlfn.IFNA(VLOOKUP(A117,[1]IRESS!$A$10:$F$875,5,FALSE),"n/a")</f>
        <v>50000</v>
      </c>
      <c r="K117" s="137">
        <f>_xlfn.IFNA(VLOOKUP(A117,[1]IRESS!$A$11:$G$684,7,FALSE),"n/a")</f>
        <v>1292.45</v>
      </c>
      <c r="L117" s="136">
        <f>_xlfn.IFNA(VLOOKUP(A117,[1]IRESS!$A$10:$F$875,4,FALSE),"n/a")</f>
        <v>1</v>
      </c>
      <c r="M117" s="138">
        <f t="shared" si="1"/>
        <v>2.5671166015853439E-2</v>
      </c>
      <c r="N117" s="139" t="e">
        <f>VLOOKUP(A117,[1]Spreads!$A$1:$G$87,2,FALSE)</f>
        <v>#N/A</v>
      </c>
      <c r="O117" s="137" t="e">
        <f>VLOOKUP(A117,[1]Spreads!$A$1:$G$87,5,FALSE)/1000</f>
        <v>#N/A</v>
      </c>
      <c r="P117" s="140" t="e">
        <f>VLOOKUP(A117,[1]Spreads!$A$1:$G$87,6,FALSE)/1000</f>
        <v>#N/A</v>
      </c>
      <c r="Q117" s="7"/>
      <c r="R117" s="141">
        <f>_xlfn.IFNA(VLOOKUP($A117,[1]IRESS!$A$11:$AE$696,6,FALSE)/100,"n/a")</f>
        <v>37.637100000000004</v>
      </c>
      <c r="S117" s="117"/>
      <c r="T117" s="142" t="str">
        <f>IF(VLOOKUP($A117,[1]FE!$A$2:$G$498,3,FALSE)="N/A","n/a",IFERROR(VLOOKUP($A117,[1]FE!$A$2:$G$498,3,FALSE),"n/a"))</f>
        <v>-3.15%</v>
      </c>
      <c r="U117" s="138" t="str">
        <f>IF(VLOOKUP($A117,[1]FE!$A$2:$G$498,4,FALSE)="N/A","n/a",IFERROR(VLOOKUP($A117,[1]FE!$A$2:$G$498,4,FALSE),"n/a"))</f>
        <v>0.74%</v>
      </c>
      <c r="V117" s="142" t="str">
        <f>IF(VLOOKUP($A117,[1]FE!$A$2:$G$498,5,FALSE)="N/A","n/a",IFERROR(VLOOKUP($A117,[1]FE!$A$2:$G$498,5,FALSE),"n/a"))</f>
        <v>20.35%</v>
      </c>
      <c r="W117" s="138" t="str">
        <f>IF(VLOOKUP($A117,[1]FE!$A$2:$G$498,6,FALSE)="N/A","n/a",IFERROR(VLOOKUP($A117,[1]FE!$A$2:$G$498,6,FALSE),"n/a"))</f>
        <v>7.86%</v>
      </c>
      <c r="X117" s="142" t="str">
        <f>IF(VLOOKUP($A117,[1]FE!$A$2:$G$498,7,FALSE)="N/A","n/a",IFERROR(VLOOKUP($A117,[1]FE!$A$2:$G$498,7,FALSE),"n/a"))</f>
        <v>19.33%</v>
      </c>
    </row>
    <row r="118" spans="1:24" ht="18.75">
      <c r="A118" s="151" t="s">
        <v>401</v>
      </c>
      <c r="B118" s="130" t="s">
        <v>298</v>
      </c>
      <c r="C118" s="148" t="str">
        <f>VLOOKUP(A118,'[1]mFund List'!$A$2:$B$311,2,FALSE)</f>
        <v>Fidelity India</v>
      </c>
      <c r="D118" s="149"/>
      <c r="E118" s="116"/>
      <c r="F118" s="133" t="str">
        <f>_xlfn.IFNA(VLOOKUP(A118,'[1]mFund List'!$A$2:$I$200,6,FALSE),"n/a")</f>
        <v>1.20%</v>
      </c>
      <c r="G118" s="134">
        <f>_xlfn.IFNA(VLOOKUP(A118,'[1]mFund List'!$A$2:$J$200,8,FALSE)/1000000,"n/a")</f>
        <v>10.279554992588002</v>
      </c>
      <c r="H118" s="135">
        <f>_xlfn.IFNA(VLOOKUP(A118,'[1]mFund List'!$A$2:$N$200,14,FALSE)/1000000,"n/a")</f>
        <v>0.20678443442000263</v>
      </c>
      <c r="I118" s="134">
        <f>_xlfn.IFNA(VLOOKUP(A118,'[1]mFund List'!$A$2:$R$200,18,FALSE)/1000000,"n/a")</f>
        <v>0.10139570319200047</v>
      </c>
      <c r="J118" s="136">
        <f>_xlfn.IFNA(VLOOKUP(A118,[1]IRESS!$A$10:$F$875,5,FALSE),"n/a")</f>
        <v>102000</v>
      </c>
      <c r="K118" s="137">
        <f>_xlfn.IFNA(VLOOKUP(A118,[1]IRESS!$A$11:$G$684,7,FALSE),"n/a")</f>
        <v>3039.6400000000003</v>
      </c>
      <c r="L118" s="136">
        <f>_xlfn.IFNA(VLOOKUP(A118,[1]IRESS!$A$10:$F$875,4,FALSE),"n/a")</f>
        <v>5</v>
      </c>
      <c r="M118" s="138">
        <f t="shared" si="1"/>
        <v>9.9226085247412325E-3</v>
      </c>
      <c r="N118" s="139" t="e">
        <f>VLOOKUP(A118,[1]Spreads!$A$1:$G$87,2,FALSE)</f>
        <v>#N/A</v>
      </c>
      <c r="O118" s="137" t="e">
        <f>VLOOKUP(A118,[1]Spreads!$A$1:$G$87,5,FALSE)/1000</f>
        <v>#N/A</v>
      </c>
      <c r="P118" s="140" t="e">
        <f>VLOOKUP(A118,[1]Spreads!$A$1:$G$87,6,FALSE)/1000</f>
        <v>#N/A</v>
      </c>
      <c r="R118" s="141">
        <f>_xlfn.IFNA(VLOOKUP($A118,[1]IRESS!$A$11:$AE$696,6,FALSE)/100,"n/a")</f>
        <v>33.357800000000005</v>
      </c>
      <c r="S118" s="117"/>
      <c r="T118" s="142" t="str">
        <f>IF(VLOOKUP($A118,[1]FE!$A$2:$G$498,3,FALSE)="N/A","n/a",IFERROR(VLOOKUP($A118,[1]FE!$A$2:$G$498,3,FALSE),"n/a"))</f>
        <v>1.05%</v>
      </c>
      <c r="U118" s="138" t="str">
        <f>IF(VLOOKUP($A118,[1]FE!$A$2:$G$498,4,FALSE)="N/A","n/a",IFERROR(VLOOKUP($A118,[1]FE!$A$2:$G$498,4,FALSE),"n/a"))</f>
        <v>5.18%</v>
      </c>
      <c r="V118" s="142" t="str">
        <f>IF(VLOOKUP($A118,[1]FE!$A$2:$G$498,5,FALSE)="N/A","n/a",IFERROR(VLOOKUP($A118,[1]FE!$A$2:$G$498,5,FALSE),"n/a"))</f>
        <v>11.93%</v>
      </c>
      <c r="W118" s="138" t="str">
        <f>IF(VLOOKUP($A118,[1]FE!$A$2:$G$498,6,FALSE)="N/A","n/a",IFERROR(VLOOKUP($A118,[1]FE!$A$2:$G$498,6,FALSE),"n/a"))</f>
        <v>9.63%</v>
      </c>
      <c r="X118" s="142" t="str">
        <f>IF(VLOOKUP($A118,[1]FE!$A$2:$G$498,7,FALSE)="N/A","n/a",IFERROR(VLOOKUP($A118,[1]FE!$A$2:$G$498,7,FALSE),"n/a"))</f>
        <v>18.49%</v>
      </c>
    </row>
    <row r="119" spans="1:24" ht="18.75">
      <c r="A119" s="151" t="s">
        <v>402</v>
      </c>
      <c r="B119" s="130" t="s">
        <v>298</v>
      </c>
      <c r="C119" s="148" t="str">
        <f>VLOOKUP(A119,'[1]mFund List'!$A$2:$B$311,2,FALSE)</f>
        <v>New Capital China Equity Fund</v>
      </c>
      <c r="D119" s="149"/>
      <c r="E119" s="116"/>
      <c r="F119" s="133" t="str">
        <f>_xlfn.IFNA(VLOOKUP(A119,'[1]mFund List'!$A$2:$I$200,6,FALSE),"n/a")</f>
        <v>n/a</v>
      </c>
      <c r="G119" s="134">
        <f>_xlfn.IFNA(VLOOKUP(A119,'[1]mFund List'!$A$2:$J$200,8,FALSE)/1000000,"n/a")</f>
        <v>0</v>
      </c>
      <c r="H119" s="135">
        <f>_xlfn.IFNA(VLOOKUP(A119,'[1]mFund List'!$A$2:$N$200,14,FALSE)/1000000,"n/a")</f>
        <v>0</v>
      </c>
      <c r="I119" s="134">
        <f>_xlfn.IFNA(VLOOKUP(A119,'[1]mFund List'!$A$2:$R$200,18,FALSE)/1000000,"n/a")</f>
        <v>0</v>
      </c>
      <c r="J119" s="136" t="str">
        <f>_xlfn.IFNA(VLOOKUP(A119,[1]IRESS!$A$10:$F$875,5,FALSE),"n/a")</f>
        <v>0</v>
      </c>
      <c r="K119" s="137" t="str">
        <f>_xlfn.IFNA(VLOOKUP(A119,[1]IRESS!$A$11:$G$684,7,FALSE),"n/a")</f>
        <v>0</v>
      </c>
      <c r="L119" s="136" t="str">
        <f>_xlfn.IFNA(VLOOKUP(A119,[1]IRESS!$A$10:$F$875,4,FALSE),"n/a")</f>
        <v>0</v>
      </c>
      <c r="M119" s="138" t="e">
        <f t="shared" si="1"/>
        <v>#DIV/0!</v>
      </c>
      <c r="N119" s="139" t="e">
        <f>VLOOKUP(A119,[1]Spreads!$A$1:$G$87,2,FALSE)</f>
        <v>#N/A</v>
      </c>
      <c r="O119" s="137" t="e">
        <f>VLOOKUP(A119,[1]Spreads!$A$1:$G$87,5,FALSE)/1000</f>
        <v>#N/A</v>
      </c>
      <c r="P119" s="140" t="e">
        <f>VLOOKUP(A119,[1]Spreads!$A$1:$G$87,6,FALSE)/1000</f>
        <v>#N/A</v>
      </c>
      <c r="R119" s="141">
        <f>_xlfn.IFNA(VLOOKUP($A119,[1]IRESS!$A$11:$AE$696,6,FALSE)/100,"n/a")</f>
        <v>1.0031699999999999</v>
      </c>
      <c r="S119" s="117"/>
      <c r="T119" s="142" t="str">
        <f>IF(VLOOKUP($A119,[1]FE!$A$2:$G$498,3,FALSE)="N/A","n/a",IFERROR(VLOOKUP($A119,[1]FE!$A$2:$G$498,3,FALSE),"n/a"))</f>
        <v>n/a</v>
      </c>
      <c r="U119" s="138" t="str">
        <f>IF(VLOOKUP($A119,[1]FE!$A$2:$G$498,4,FALSE)="N/A","n/a",IFERROR(VLOOKUP($A119,[1]FE!$A$2:$G$498,4,FALSE),"n/a"))</f>
        <v>n/a</v>
      </c>
      <c r="V119" s="142" t="str">
        <f>IF(VLOOKUP($A119,[1]FE!$A$2:$G$498,5,FALSE)="N/A","n/a",IFERROR(VLOOKUP($A119,[1]FE!$A$2:$G$498,5,FALSE),"n/a"))</f>
        <v>n/a</v>
      </c>
      <c r="W119" s="138" t="str">
        <f>IF(VLOOKUP($A119,[1]FE!$A$2:$G$498,6,FALSE)="N/A","n/a",IFERROR(VLOOKUP($A119,[1]FE!$A$2:$G$498,6,FALSE),"n/a"))</f>
        <v>n/a</v>
      </c>
      <c r="X119" s="142" t="str">
        <f>IF(VLOOKUP($A119,[1]FE!$A$2:$G$498,7,FALSE)="N/A","n/a",IFERROR(VLOOKUP($A119,[1]FE!$A$2:$G$498,7,FALSE),"n/a"))</f>
        <v>n/a</v>
      </c>
    </row>
    <row r="120" spans="1:24" ht="18.75">
      <c r="A120" s="151" t="s">
        <v>403</v>
      </c>
      <c r="B120" s="130" t="s">
        <v>298</v>
      </c>
      <c r="C120" s="148" t="str">
        <f>VLOOKUP(A120,'[1]mFund List'!$A$2:$B$311,2,FALSE)</f>
        <v>Schroder Asia Pacific Wholesale</v>
      </c>
      <c r="D120" s="149"/>
      <c r="E120" s="116"/>
      <c r="F120" s="133" t="str">
        <f>_xlfn.IFNA(VLOOKUP(A120,'[1]mFund List'!$A$2:$I$200,6,FALSE),"n/a")</f>
        <v>1.37%</v>
      </c>
      <c r="G120" s="134">
        <f>_xlfn.IFNA(VLOOKUP(A120,'[1]mFund List'!$A$2:$J$200,8,FALSE)/1000000,"n/a")</f>
        <v>3.8955609253739394</v>
      </c>
      <c r="H120" s="135">
        <f>_xlfn.IFNA(VLOOKUP(A120,'[1]mFund List'!$A$2:$N$200,14,FALSE)/1000000,"n/a")</f>
        <v>-0.11192996380511112</v>
      </c>
      <c r="I120" s="134">
        <f>_xlfn.IFNA(VLOOKUP(A120,'[1]mFund List'!$A$2:$R$200,18,FALSE)/1000000,"n/a")</f>
        <v>-6.067911007545046E-2</v>
      </c>
      <c r="J120" s="136">
        <f>_xlfn.IFNA(VLOOKUP(A120,[1]IRESS!$A$10:$F$875,5,FALSE),"n/a")</f>
        <v>202038.68</v>
      </c>
      <c r="K120" s="137">
        <f>_xlfn.IFNA(VLOOKUP(A120,[1]IRESS!$A$11:$G$684,7,FALSE),"n/a")</f>
        <v>73363.756099999999</v>
      </c>
      <c r="L120" s="136">
        <f>_xlfn.IFNA(VLOOKUP(A120,[1]IRESS!$A$10:$F$875,4,FALSE),"n/a")</f>
        <v>5</v>
      </c>
      <c r="M120" s="138">
        <f t="shared" si="1"/>
        <v>5.1863822404627405E-2</v>
      </c>
      <c r="N120" s="139" t="e">
        <f>VLOOKUP(A120,[1]Spreads!$A$1:$G$87,2,FALSE)</f>
        <v>#N/A</v>
      </c>
      <c r="O120" s="137" t="e">
        <f>VLOOKUP(A120,[1]Spreads!$A$1:$G$87,5,FALSE)/1000</f>
        <v>#N/A</v>
      </c>
      <c r="P120" s="140" t="e">
        <f>VLOOKUP(A120,[1]Spreads!$A$1:$G$87,6,FALSE)/1000</f>
        <v>#N/A</v>
      </c>
      <c r="R120" s="141">
        <f>_xlfn.IFNA(VLOOKUP($A120,[1]IRESS!$A$11:$AE$696,6,FALSE)/100,"n/a")</f>
        <v>2.6708999999999996</v>
      </c>
      <c r="S120" s="117"/>
      <c r="T120" s="142" t="str">
        <f>IF(VLOOKUP($A120,[1]FE!$A$2:$G$498,3,FALSE)="N/A","n/a",IFERROR(VLOOKUP($A120,[1]FE!$A$2:$G$498,3,FALSE),"n/a"))</f>
        <v>-0.16%</v>
      </c>
      <c r="U120" s="138" t="str">
        <f>IF(VLOOKUP($A120,[1]FE!$A$2:$G$498,4,FALSE)="N/A","n/a",IFERROR(VLOOKUP($A120,[1]FE!$A$2:$G$498,4,FALSE),"n/a"))</f>
        <v>1.75%</v>
      </c>
      <c r="V120" s="142" t="str">
        <f>IF(VLOOKUP($A120,[1]FE!$A$2:$G$498,5,FALSE)="N/A","n/a",IFERROR(VLOOKUP($A120,[1]FE!$A$2:$G$498,5,FALSE),"n/a"))</f>
        <v>19.65%</v>
      </c>
      <c r="W120" s="138" t="str">
        <f>IF(VLOOKUP($A120,[1]FE!$A$2:$G$498,6,FALSE)="N/A","n/a",IFERROR(VLOOKUP($A120,[1]FE!$A$2:$G$498,6,FALSE),"n/a"))</f>
        <v>15.10%</v>
      </c>
      <c r="X120" s="142" t="str">
        <f>IF(VLOOKUP($A120,[1]FE!$A$2:$G$498,7,FALSE)="N/A","n/a",IFERROR(VLOOKUP($A120,[1]FE!$A$2:$G$498,7,FALSE),"n/a"))</f>
        <v>15.98%</v>
      </c>
    </row>
    <row r="121" spans="1:24" s="108" customFormat="1" ht="18.75">
      <c r="A121" s="123" t="s">
        <v>125</v>
      </c>
      <c r="B121" s="124"/>
      <c r="C121" s="124"/>
      <c r="D121" s="124"/>
      <c r="E121" s="116"/>
      <c r="F121" s="143"/>
      <c r="G121" s="144"/>
      <c r="H121" s="144"/>
      <c r="I121" s="144"/>
      <c r="J121" s="145"/>
      <c r="K121" s="145"/>
      <c r="L121" s="145"/>
      <c r="M121" s="146"/>
      <c r="N121" s="146"/>
      <c r="O121" s="145"/>
      <c r="P121" s="145"/>
      <c r="Q121" s="7"/>
      <c r="R121" s="147"/>
      <c r="S121" s="117"/>
      <c r="T121" s="125"/>
      <c r="U121" s="125"/>
      <c r="V121" s="125"/>
      <c r="W121" s="125"/>
      <c r="X121" s="125"/>
    </row>
    <row r="122" spans="1:24" s="45" customFormat="1" ht="18.75">
      <c r="A122" s="151" t="s">
        <v>404</v>
      </c>
      <c r="B122" s="130" t="s">
        <v>298</v>
      </c>
      <c r="C122" s="148" t="str">
        <f>VLOOKUP(A122,'[1]mFund List'!$A$2:$B$311,2,FALSE)</f>
        <v>Aberdeen Emerging Opportunities</v>
      </c>
      <c r="D122" s="149"/>
      <c r="E122" s="116"/>
      <c r="F122" s="133" t="str">
        <f>_xlfn.IFNA(VLOOKUP(A122,'[1]mFund List'!$A$2:$I$200,6,FALSE),"n/a")</f>
        <v>1.50%</v>
      </c>
      <c r="G122" s="134">
        <f>_xlfn.IFNA(VLOOKUP(A122,'[1]mFund List'!$A$2:$J$200,8,FALSE)/1000000,"n/a")</f>
        <v>5.2742272344951937</v>
      </c>
      <c r="H122" s="135">
        <f>_xlfn.IFNA(VLOOKUP(A122,'[1]mFund List'!$A$2:$N$200,14,FALSE)/1000000,"n/a")</f>
        <v>-0.14105842865401599</v>
      </c>
      <c r="I122" s="134">
        <f>_xlfn.IFNA(VLOOKUP(A122,'[1]mFund List'!$A$2:$R$200,18,FALSE)/1000000,"n/a")</f>
        <v>-8.89101891124555E-3</v>
      </c>
      <c r="J122" s="136">
        <f>_xlfn.IFNA(VLOOKUP(A122,[1]IRESS!$A$10:$F$875,5,FALSE),"n/a")</f>
        <v>414376.87</v>
      </c>
      <c r="K122" s="137">
        <f>_xlfn.IFNA(VLOOKUP(A122,[1]IRESS!$A$11:$G$684,7,FALSE),"n/a")</f>
        <v>171168.44586799998</v>
      </c>
      <c r="L122" s="136">
        <f>_xlfn.IFNA(VLOOKUP(A122,[1]IRESS!$A$10:$F$875,4,FALSE),"n/a")</f>
        <v>11</v>
      </c>
      <c r="M122" s="138">
        <f t="shared" si="1"/>
        <v>7.8566366517134112E-2</v>
      </c>
      <c r="N122" s="139" t="e">
        <f>VLOOKUP(A122,[1]Spreads!$A$1:$G$87,2,FALSE)</f>
        <v>#N/A</v>
      </c>
      <c r="O122" s="137" t="e">
        <f>VLOOKUP(A122,[1]Spreads!$A$1:$G$87,5,FALSE)/1000</f>
        <v>#N/A</v>
      </c>
      <c r="P122" s="140" t="e">
        <f>VLOOKUP(A122,[1]Spreads!$A$1:$G$87,6,FALSE)/1000</f>
        <v>#N/A</v>
      </c>
      <c r="Q122" s="7"/>
      <c r="R122" s="141">
        <f>_xlfn.IFNA(VLOOKUP($A122,[1]IRESS!$A$11:$AE$696,6,FALSE)/100,"n/a")</f>
        <v>2.3624000000000001</v>
      </c>
      <c r="S122" s="117"/>
      <c r="T122" s="142" t="str">
        <f>IF(VLOOKUP($A122,[1]FE!$A$2:$G$498,3,FALSE)="N/A","n/a",IFERROR(VLOOKUP($A122,[1]FE!$A$2:$G$498,3,FALSE),"n/a"))</f>
        <v>-1.07%</v>
      </c>
      <c r="U122" s="138" t="str">
        <f>IF(VLOOKUP($A122,[1]FE!$A$2:$G$498,4,FALSE)="N/A","n/a",IFERROR(VLOOKUP($A122,[1]FE!$A$2:$G$498,4,FALSE),"n/a"))</f>
        <v>-5.87%</v>
      </c>
      <c r="V122" s="142" t="str">
        <f>IF(VLOOKUP($A122,[1]FE!$A$2:$G$498,5,FALSE)="N/A","n/a",IFERROR(VLOOKUP($A122,[1]FE!$A$2:$G$498,5,FALSE),"n/a"))</f>
        <v>1.08%</v>
      </c>
      <c r="W122" s="138" t="str">
        <f>IF(VLOOKUP($A122,[1]FE!$A$2:$G$498,6,FALSE)="N/A","n/a",IFERROR(VLOOKUP($A122,[1]FE!$A$2:$G$498,6,FALSE),"n/a"))</f>
        <v>4.03%</v>
      </c>
      <c r="X122" s="142" t="str">
        <f>IF(VLOOKUP($A122,[1]FE!$A$2:$G$498,7,FALSE)="N/A","n/a",IFERROR(VLOOKUP($A122,[1]FE!$A$2:$G$498,7,FALSE),"n/a"))</f>
        <v>6.21%</v>
      </c>
    </row>
    <row r="123" spans="1:24" ht="18.75">
      <c r="A123" s="151" t="s">
        <v>405</v>
      </c>
      <c r="B123" s="130" t="s">
        <v>298</v>
      </c>
      <c r="C123" s="148" t="str">
        <f>VLOOKUP(A123,'[1]mFund List'!$A$2:$B$311,2,FALSE)</f>
        <v xml:space="preserve">JPMorgan Emerging Markets Opportunities Fund </v>
      </c>
      <c r="D123" s="149"/>
      <c r="E123" s="116"/>
      <c r="F123" s="133" t="str">
        <f>_xlfn.IFNA(VLOOKUP(A123,'[1]mFund List'!$A$2:$I$200,6,FALSE),"n/a")</f>
        <v>1.35%</v>
      </c>
      <c r="G123" s="134">
        <f>_xlfn.IFNA(VLOOKUP(A123,'[1]mFund List'!$A$2:$J$200,8,FALSE)/1000000,"n/a")</f>
        <v>0.37155265605329996</v>
      </c>
      <c r="H123" s="135">
        <f>_xlfn.IFNA(VLOOKUP(A123,'[1]mFund List'!$A$2:$N$200,14,FALSE)/1000000,"n/a")</f>
        <v>-0.13294251122470002</v>
      </c>
      <c r="I123" s="134">
        <f>_xlfn.IFNA(VLOOKUP(A123,'[1]mFund List'!$A$2:$R$200,18,FALSE)/1000000,"n/a")</f>
        <v>-0.13102362720869998</v>
      </c>
      <c r="J123" s="136">
        <f>_xlfn.IFNA(VLOOKUP(A123,[1]IRESS!$A$10:$F$875,5,FALSE),"n/a")</f>
        <v>133248.38</v>
      </c>
      <c r="K123" s="137">
        <f>_xlfn.IFNA(VLOOKUP(A123,[1]IRESS!$A$11:$G$684,7,FALSE),"n/a")</f>
        <v>89332.260999999999</v>
      </c>
      <c r="L123" s="136">
        <f>_xlfn.IFNA(VLOOKUP(A123,[1]IRESS!$A$10:$F$875,4,FALSE),"n/a")</f>
        <v>3</v>
      </c>
      <c r="M123" s="138">
        <f t="shared" si="1"/>
        <v>0.35862583089941702</v>
      </c>
      <c r="N123" s="139" t="e">
        <f>VLOOKUP(A123,[1]Spreads!$A$1:$G$87,2,FALSE)</f>
        <v>#N/A</v>
      </c>
      <c r="O123" s="137" t="e">
        <f>VLOOKUP(A123,[1]Spreads!$A$1:$G$87,5,FALSE)/1000</f>
        <v>#N/A</v>
      </c>
      <c r="P123" s="140" t="e">
        <f>VLOOKUP(A123,[1]Spreads!$A$1:$G$87,6,FALSE)/1000</f>
        <v>#N/A</v>
      </c>
      <c r="R123" s="141">
        <f>_xlfn.IFNA(VLOOKUP($A123,[1]IRESS!$A$11:$AE$696,6,FALSE)/100,"n/a")</f>
        <v>1.4666999999999999</v>
      </c>
      <c r="S123" s="117"/>
      <c r="T123" s="142" t="str">
        <f>IF(VLOOKUP($A123,[1]FE!$A$2:$G$498,3,FALSE)="N/A","n/a",IFERROR(VLOOKUP($A123,[1]FE!$A$2:$G$498,3,FALSE),"n/a"))</f>
        <v>-0.38%</v>
      </c>
      <c r="U123" s="138" t="str">
        <f>IF(VLOOKUP($A123,[1]FE!$A$2:$G$498,4,FALSE)="N/A","n/a",IFERROR(VLOOKUP($A123,[1]FE!$A$2:$G$498,4,FALSE),"n/a"))</f>
        <v>-3.13%</v>
      </c>
      <c r="V123" s="142" t="str">
        <f>IF(VLOOKUP($A123,[1]FE!$A$2:$G$498,5,FALSE)="N/A","n/a",IFERROR(VLOOKUP($A123,[1]FE!$A$2:$G$498,5,FALSE),"n/a"))</f>
        <v>16.00%</v>
      </c>
      <c r="W123" s="138" t="str">
        <f>IF(VLOOKUP($A123,[1]FE!$A$2:$G$498,6,FALSE)="N/A","n/a",IFERROR(VLOOKUP($A123,[1]FE!$A$2:$G$498,6,FALSE),"n/a"))</f>
        <v>8.97%</v>
      </c>
      <c r="X123" s="142" t="str">
        <f>IF(VLOOKUP($A123,[1]FE!$A$2:$G$498,7,FALSE)="N/A","n/a",IFERROR(VLOOKUP($A123,[1]FE!$A$2:$G$498,7,FALSE),"n/a"))</f>
        <v>n/a</v>
      </c>
    </row>
    <row r="124" spans="1:24" ht="18.75">
      <c r="A124" s="151" t="s">
        <v>406</v>
      </c>
      <c r="B124" s="130" t="s">
        <v>298</v>
      </c>
      <c r="C124" s="148" t="str">
        <f>VLOOKUP(A124,'[1]mFund List'!$A$2:$B$311,2,FALSE)</f>
        <v>Fidelity Global Emerging Markets</v>
      </c>
      <c r="D124" s="149"/>
      <c r="E124" s="116"/>
      <c r="F124" s="133" t="str">
        <f>_xlfn.IFNA(VLOOKUP(A124,'[1]mFund List'!$A$2:$I$200,6,FALSE),"n/a")</f>
        <v>1.34%</v>
      </c>
      <c r="G124" s="134">
        <f>_xlfn.IFNA(VLOOKUP(A124,'[1]mFund List'!$A$2:$J$200,8,FALSE)/1000000,"n/a")</f>
        <v>0.32104319417499999</v>
      </c>
      <c r="H124" s="135">
        <f>_xlfn.IFNA(VLOOKUP(A124,'[1]mFund List'!$A$2:$N$200,14,FALSE)/1000000,"n/a")</f>
        <v>4.1330195933999961E-2</v>
      </c>
      <c r="I124" s="134">
        <f>_xlfn.IFNA(VLOOKUP(A124,'[1]mFund List'!$A$2:$R$200,18,FALSE)/1000000,"n/a")</f>
        <v>4.3472090600000034E-2</v>
      </c>
      <c r="J124" s="136">
        <f>_xlfn.IFNA(VLOOKUP(A124,[1]IRESS!$A$10:$F$875,5,FALSE),"n/a")</f>
        <v>44500</v>
      </c>
      <c r="K124" s="137">
        <f>_xlfn.IFNA(VLOOKUP(A124,[1]IRESS!$A$11:$G$684,7,FALSE),"n/a")</f>
        <v>2947.76</v>
      </c>
      <c r="L124" s="136">
        <f>_xlfn.IFNA(VLOOKUP(A124,[1]IRESS!$A$10:$F$875,4,FALSE),"n/a")</f>
        <v>1</v>
      </c>
      <c r="M124" s="138">
        <f t="shared" si="1"/>
        <v>0.13861063186327238</v>
      </c>
      <c r="N124" s="139" t="e">
        <f>VLOOKUP(A124,[1]Spreads!$A$1:$G$87,2,FALSE)</f>
        <v>#N/A</v>
      </c>
      <c r="O124" s="137" t="e">
        <f>VLOOKUP(A124,[1]Spreads!$A$1:$G$87,5,FALSE)/1000</f>
        <v>#N/A</v>
      </c>
      <c r="P124" s="140" t="e">
        <f>VLOOKUP(A124,[1]Spreads!$A$1:$G$87,6,FALSE)/1000</f>
        <v>#N/A</v>
      </c>
      <c r="R124" s="141">
        <f>_xlfn.IFNA(VLOOKUP($A124,[1]IRESS!$A$11:$AE$696,6,FALSE)/100,"n/a")</f>
        <v>14.7475</v>
      </c>
      <c r="S124" s="117"/>
      <c r="T124" s="142" t="str">
        <f>IF(VLOOKUP($A124,[1]FE!$A$2:$G$498,3,FALSE)="N/A","n/a",IFERROR(VLOOKUP($A124,[1]FE!$A$2:$G$498,3,FALSE),"n/a"))</f>
        <v>-0.77%</v>
      </c>
      <c r="U124" s="138" t="str">
        <f>IF(VLOOKUP($A124,[1]FE!$A$2:$G$498,4,FALSE)="N/A","n/a",IFERROR(VLOOKUP($A124,[1]FE!$A$2:$G$498,4,FALSE),"n/a"))</f>
        <v>-2.02%</v>
      </c>
      <c r="V124" s="142" t="str">
        <f>IF(VLOOKUP($A124,[1]FE!$A$2:$G$498,5,FALSE)="N/A","n/a",IFERROR(VLOOKUP($A124,[1]FE!$A$2:$G$498,5,FALSE),"n/a"))</f>
        <v>14.51%</v>
      </c>
      <c r="W124" s="138" t="str">
        <f>IF(VLOOKUP($A124,[1]FE!$A$2:$G$498,6,FALSE)="N/A","n/a",IFERROR(VLOOKUP($A124,[1]FE!$A$2:$G$498,6,FALSE),"n/a"))</f>
        <v>8.69%</v>
      </c>
      <c r="X124" s="142" t="str">
        <f>IF(VLOOKUP($A124,[1]FE!$A$2:$G$498,7,FALSE)="N/A","n/a",IFERROR(VLOOKUP($A124,[1]FE!$A$2:$G$498,7,FALSE),"n/a"))</f>
        <v>n/a</v>
      </c>
    </row>
    <row r="125" spans="1:24" ht="18.75">
      <c r="A125" s="151" t="s">
        <v>407</v>
      </c>
      <c r="B125" s="130" t="s">
        <v>298</v>
      </c>
      <c r="C125" s="148" t="str">
        <f>VLOOKUP(A125,'[1]mFund List'!$A$2:$B$311,2,FALSE)</f>
        <v>Schroder Global Emerging Markets Wholesale</v>
      </c>
      <c r="D125" s="149"/>
      <c r="E125" s="116"/>
      <c r="F125" s="133" t="str">
        <f>_xlfn.IFNA(VLOOKUP(A125,'[1]mFund List'!$A$2:$I$200,6,FALSE),"n/a")</f>
        <v>1.40%</v>
      </c>
      <c r="G125" s="134">
        <f>_xlfn.IFNA(VLOOKUP(A125,'[1]mFund List'!$A$2:$J$200,8,FALSE)/1000000,"n/a")</f>
        <v>0.48833973174389</v>
      </c>
      <c r="H125" s="135">
        <f>_xlfn.IFNA(VLOOKUP(A125,'[1]mFund List'!$A$2:$N$200,14,FALSE)/1000000,"n/a")</f>
        <v>-2.592882158863009E-2</v>
      </c>
      <c r="I125" s="134">
        <f>_xlfn.IFNA(VLOOKUP(A125,'[1]mFund List'!$A$2:$R$200,18,FALSE)/1000000,"n/a")</f>
        <v>-2.1726558336730036E-2</v>
      </c>
      <c r="J125" s="136">
        <f>_xlfn.IFNA(VLOOKUP(A125,[1]IRESS!$A$10:$F$875,5,FALSE),"n/a")</f>
        <v>22082.67</v>
      </c>
      <c r="K125" s="137">
        <f>_xlfn.IFNA(VLOOKUP(A125,[1]IRESS!$A$11:$G$684,7,FALSE),"n/a")</f>
        <v>18841.868299999998</v>
      </c>
      <c r="L125" s="136">
        <f>_xlfn.IFNA(VLOOKUP(A125,[1]IRESS!$A$10:$F$875,4,FALSE),"n/a")</f>
        <v>1</v>
      </c>
      <c r="M125" s="138">
        <f t="shared" si="1"/>
        <v>4.5219892145866324E-2</v>
      </c>
      <c r="N125" s="139" t="e">
        <f>VLOOKUP(A125,[1]Spreads!$A$1:$G$87,2,FALSE)</f>
        <v>#N/A</v>
      </c>
      <c r="O125" s="137" t="e">
        <f>VLOOKUP(A125,[1]Spreads!$A$1:$G$87,5,FALSE)/1000</f>
        <v>#N/A</v>
      </c>
      <c r="P125" s="140" t="e">
        <f>VLOOKUP(A125,[1]Spreads!$A$1:$G$87,6,FALSE)/1000</f>
        <v>#N/A</v>
      </c>
      <c r="R125" s="141">
        <f>_xlfn.IFNA(VLOOKUP($A125,[1]IRESS!$A$11:$AE$696,6,FALSE)/100,"n/a")</f>
        <v>1.1531</v>
      </c>
      <c r="S125" s="117"/>
      <c r="T125" s="142" t="str">
        <f>IF(VLOOKUP($A125,[1]FE!$A$2:$G$498,3,FALSE)="N/A","n/a",IFERROR(VLOOKUP($A125,[1]FE!$A$2:$G$498,3,FALSE),"n/a"))</f>
        <v>0.20%</v>
      </c>
      <c r="U125" s="138" t="str">
        <f>IF(VLOOKUP($A125,[1]FE!$A$2:$G$498,4,FALSE)="N/A","n/a",IFERROR(VLOOKUP($A125,[1]FE!$A$2:$G$498,4,FALSE),"n/a"))</f>
        <v>-2.98%</v>
      </c>
      <c r="V125" s="142" t="str">
        <f>IF(VLOOKUP($A125,[1]FE!$A$2:$G$498,5,FALSE)="N/A","n/a",IFERROR(VLOOKUP($A125,[1]FE!$A$2:$G$498,5,FALSE),"n/a"))</f>
        <v>15.29%</v>
      </c>
      <c r="W125" s="138" t="str">
        <f>IF(VLOOKUP($A125,[1]FE!$A$2:$G$498,6,FALSE)="N/A","n/a",IFERROR(VLOOKUP($A125,[1]FE!$A$2:$G$498,6,FALSE),"n/a"))</f>
        <v>9.27%</v>
      </c>
      <c r="X125" s="142" t="str">
        <f>IF(VLOOKUP($A125,[1]FE!$A$2:$G$498,7,FALSE)="N/A","n/a",IFERROR(VLOOKUP($A125,[1]FE!$A$2:$G$498,7,FALSE),"n/a"))</f>
        <v>10.76%</v>
      </c>
    </row>
    <row r="126" spans="1:24" s="108" customFormat="1" ht="18.75">
      <c r="A126" s="123" t="s">
        <v>155</v>
      </c>
      <c r="B126" s="124"/>
      <c r="C126" s="124"/>
      <c r="D126" s="124"/>
      <c r="E126" s="116"/>
      <c r="F126" s="143"/>
      <c r="G126" s="144"/>
      <c r="H126" s="144"/>
      <c r="I126" s="144"/>
      <c r="J126" s="145"/>
      <c r="K126" s="145"/>
      <c r="L126" s="145"/>
      <c r="M126" s="146"/>
      <c r="N126" s="146"/>
      <c r="O126" s="145"/>
      <c r="P126" s="145"/>
      <c r="Q126" s="7"/>
      <c r="R126" s="147"/>
      <c r="S126" s="117"/>
      <c r="T126" s="125"/>
      <c r="U126" s="125"/>
      <c r="V126" s="125"/>
      <c r="W126" s="125"/>
      <c r="X126" s="125"/>
    </row>
    <row r="127" spans="1:24" ht="18.75">
      <c r="A127" s="129" t="s">
        <v>408</v>
      </c>
      <c r="B127" s="130" t="s">
        <v>298</v>
      </c>
      <c r="C127" s="148" t="str">
        <f>VLOOKUP(A127,'[1]mFund List'!$A$2:$B$311,2,FALSE)</f>
        <v>AMP Capital Global Infrastructure Securities Unhedged</v>
      </c>
      <c r="D127" s="149"/>
      <c r="E127" s="116"/>
      <c r="F127" s="133" t="str">
        <f>_xlfn.IFNA(VLOOKUP(A127,'[1]mFund List'!$A$2:$I$200,6,FALSE),"n/a")</f>
        <v>0.80%</v>
      </c>
      <c r="G127" s="134">
        <f>_xlfn.IFNA(VLOOKUP(A127,'[1]mFund List'!$A$2:$J$200,8,FALSE)/1000000,"n/a")</f>
        <v>3.0354278785326003</v>
      </c>
      <c r="H127" s="135">
        <f>_xlfn.IFNA(VLOOKUP(A127,'[1]mFund List'!$A$2:$N$200,14,FALSE)/1000000,"n/a")</f>
        <v>0.1786089886090001</v>
      </c>
      <c r="I127" s="134">
        <f>_xlfn.IFNA(VLOOKUP(A127,'[1]mFund List'!$A$2:$R$200,18,FALSE)/1000000,"n/a")</f>
        <v>8.3125535940000994E-3</v>
      </c>
      <c r="J127" s="136">
        <f>_xlfn.IFNA(VLOOKUP(A127,[1]IRESS!$A$10:$F$875,5,FALSE),"n/a")</f>
        <v>236281.05</v>
      </c>
      <c r="K127" s="137">
        <f>_xlfn.IFNA(VLOOKUP(A127,[1]IRESS!$A$11:$G$684,7,FALSE),"n/a")</f>
        <v>234807.02</v>
      </c>
      <c r="L127" s="136">
        <f>_xlfn.IFNA(VLOOKUP(A127,[1]IRESS!$A$10:$F$875,4,FALSE),"n/a")</f>
        <v>7</v>
      </c>
      <c r="M127" s="138">
        <f t="shared" si="1"/>
        <v>7.7841101635471574E-2</v>
      </c>
      <c r="N127" s="139" t="e">
        <f>VLOOKUP(A127,[1]Spreads!$A$1:$G$87,2,FALSE)</f>
        <v>#N/A</v>
      </c>
      <c r="O127" s="137" t="e">
        <f>VLOOKUP(A127,[1]Spreads!$A$1:$G$87,5,FALSE)/1000</f>
        <v>#N/A</v>
      </c>
      <c r="P127" s="140" t="e">
        <f>VLOOKUP(A127,[1]Spreads!$A$1:$G$87,6,FALSE)/1000</f>
        <v>#N/A</v>
      </c>
      <c r="R127" s="141">
        <f>_xlfn.IFNA(VLOOKUP($A127,[1]IRESS!$A$11:$AE$696,6,FALSE)/100,"n/a")</f>
        <v>1.06209</v>
      </c>
      <c r="S127" s="117"/>
      <c r="T127" s="142" t="str">
        <f>IF(VLOOKUP($A127,[1]FE!$A$2:$G$498,3,FALSE)="N/A","n/a",IFERROR(VLOOKUP($A127,[1]FE!$A$2:$G$498,3,FALSE),"n/a"))</f>
        <v>5.97%</v>
      </c>
      <c r="U127" s="138" t="str">
        <f>IF(VLOOKUP($A127,[1]FE!$A$2:$G$498,4,FALSE)="N/A","n/a",IFERROR(VLOOKUP($A127,[1]FE!$A$2:$G$498,4,FALSE),"n/a"))</f>
        <v>9.17%</v>
      </c>
      <c r="V127" s="142" t="str">
        <f>IF(VLOOKUP($A127,[1]FE!$A$2:$G$498,5,FALSE)="N/A","n/a",IFERROR(VLOOKUP($A127,[1]FE!$A$2:$G$498,5,FALSE),"n/a"))</f>
        <v>5.96%</v>
      </c>
      <c r="W127" s="138" t="str">
        <f>IF(VLOOKUP($A127,[1]FE!$A$2:$G$498,6,FALSE)="N/A","n/a",IFERROR(VLOOKUP($A127,[1]FE!$A$2:$G$498,6,FALSE),"n/a"))</f>
        <v>2.99%</v>
      </c>
      <c r="X127" s="142" t="str">
        <f>IF(VLOOKUP($A127,[1]FE!$A$2:$G$498,7,FALSE)="N/A","n/a",IFERROR(VLOOKUP($A127,[1]FE!$A$2:$G$498,7,FALSE),"n/a"))</f>
        <v>11.26%</v>
      </c>
    </row>
    <row r="128" spans="1:24" ht="18.75">
      <c r="A128" s="129" t="s">
        <v>409</v>
      </c>
      <c r="B128" s="130" t="s">
        <v>298</v>
      </c>
      <c r="C128" s="148" t="str">
        <f>VLOOKUP(A128,'[1]mFund List'!$A$2:$B$311,2,FALSE)</f>
        <v>Alpha Infrastructure Fund</v>
      </c>
      <c r="D128" s="149"/>
      <c r="E128" s="116"/>
      <c r="F128" s="133" t="str">
        <f>_xlfn.IFNA(VLOOKUP(A128,'[1]mFund List'!$A$2:$I$200,6,FALSE),"n/a")</f>
        <v>0.29%</v>
      </c>
      <c r="G128" s="134">
        <f>_xlfn.IFNA(VLOOKUP(A128,'[1]mFund List'!$A$2:$J$200,8,FALSE)/1000000,"n/a")</f>
        <v>2.6929194989939998E-2</v>
      </c>
      <c r="H128" s="135">
        <f>_xlfn.IFNA(VLOOKUP(A128,'[1]mFund List'!$A$2:$N$200,14,FALSE)/1000000,"n/a")</f>
        <v>8.2309854870000348E-4</v>
      </c>
      <c r="I128" s="134">
        <f>_xlfn.IFNA(VLOOKUP(A128,'[1]mFund List'!$A$2:$R$200,18,FALSE)/1000000,"n/a")</f>
        <v>0</v>
      </c>
      <c r="J128" s="136" t="str">
        <f>_xlfn.IFNA(VLOOKUP(A128,[1]IRESS!$A$10:$F$875,5,FALSE),"n/a")</f>
        <v>0</v>
      </c>
      <c r="K128" s="137" t="str">
        <f>_xlfn.IFNA(VLOOKUP(A128,[1]IRESS!$A$11:$G$684,7,FALSE),"n/a")</f>
        <v>0</v>
      </c>
      <c r="L128" s="136" t="str">
        <f>_xlfn.IFNA(VLOOKUP(A128,[1]IRESS!$A$10:$F$875,4,FALSE),"n/a")</f>
        <v>0</v>
      </c>
      <c r="M128" s="138">
        <f t="shared" si="1"/>
        <v>0</v>
      </c>
      <c r="N128" s="139" t="e">
        <f>VLOOKUP(A128,[1]Spreads!$A$1:$G$87,2,FALSE)</f>
        <v>#N/A</v>
      </c>
      <c r="O128" s="137" t="e">
        <f>VLOOKUP(A128,[1]Spreads!$A$1:$G$87,5,FALSE)/1000</f>
        <v>#N/A</v>
      </c>
      <c r="P128" s="140" t="e">
        <f>VLOOKUP(A128,[1]Spreads!$A$1:$G$87,6,FALSE)/1000</f>
        <v>#N/A</v>
      </c>
      <c r="R128" s="141">
        <f>_xlfn.IFNA(VLOOKUP($A128,[1]IRESS!$A$11:$AE$696,6,FALSE)/100,"n/a")</f>
        <v>1.4559</v>
      </c>
      <c r="S128" s="117"/>
      <c r="T128" s="142" t="str">
        <f>IF(VLOOKUP($A128,[1]FE!$A$2:$G$498,3,FALSE)="N/A","n/a",IFERROR(VLOOKUP($A128,[1]FE!$A$2:$G$498,3,FALSE),"n/a"))</f>
        <v>2.71%</v>
      </c>
      <c r="U128" s="138" t="str">
        <f>IF(VLOOKUP($A128,[1]FE!$A$2:$G$498,4,FALSE)="N/A","n/a",IFERROR(VLOOKUP($A128,[1]FE!$A$2:$G$498,4,FALSE),"n/a"))</f>
        <v>4.58%</v>
      </c>
      <c r="V128" s="142" t="str">
        <f>IF(VLOOKUP($A128,[1]FE!$A$2:$G$498,5,FALSE)="N/A","n/a",IFERROR(VLOOKUP($A128,[1]FE!$A$2:$G$498,5,FALSE),"n/a"))</f>
        <v>2.67%</v>
      </c>
      <c r="W128" s="138" t="str">
        <f>IF(VLOOKUP($A128,[1]FE!$A$2:$G$498,6,FALSE)="N/A","n/a",IFERROR(VLOOKUP($A128,[1]FE!$A$2:$G$498,6,FALSE),"n/a"))</f>
        <v>6.68%</v>
      </c>
      <c r="X128" s="142" t="str">
        <f>IF(VLOOKUP($A128,[1]FE!$A$2:$G$498,7,FALSE)="N/A","n/a",IFERROR(VLOOKUP($A128,[1]FE!$A$2:$G$498,7,FALSE),"n/a"))</f>
        <v>9.43%</v>
      </c>
    </row>
    <row r="129" spans="1:24" ht="18.75">
      <c r="A129" s="129" t="s">
        <v>410</v>
      </c>
      <c r="B129" s="130" t="s">
        <v>298</v>
      </c>
      <c r="C129" s="148" t="str">
        <f>VLOOKUP(A129,'[1]mFund List'!$A$2:$B$311,2,FALSE)</f>
        <v>RARE Infrastructure Value Fund - Hedged</v>
      </c>
      <c r="D129" s="149"/>
      <c r="E129" s="116"/>
      <c r="F129" s="133" t="str">
        <f>_xlfn.IFNA(VLOOKUP(A129,'[1]mFund List'!$A$2:$I$200,6,FALSE),"n/a")</f>
        <v>1.03%</v>
      </c>
      <c r="G129" s="134">
        <f>_xlfn.IFNA(VLOOKUP(A129,'[1]mFund List'!$A$2:$J$200,8,FALSE)/1000000,"n/a")</f>
        <v>3.9173545125195992</v>
      </c>
      <c r="H129" s="135">
        <f>_xlfn.IFNA(VLOOKUP(A129,'[1]mFund List'!$A$2:$N$200,14,FALSE)/1000000,"n/a")</f>
        <v>0.1695669168757992</v>
      </c>
      <c r="I129" s="134">
        <f>_xlfn.IFNA(VLOOKUP(A129,'[1]mFund List'!$A$2:$R$200,18,FALSE)/1000000,"n/a")</f>
        <v>7.4161776256469816E-2</v>
      </c>
      <c r="J129" s="136">
        <f>_xlfn.IFNA(VLOOKUP(A129,[1]IRESS!$A$10:$F$875,5,FALSE),"n/a")</f>
        <v>261128.68</v>
      </c>
      <c r="K129" s="137">
        <f>_xlfn.IFNA(VLOOKUP(A129,[1]IRESS!$A$11:$G$684,7,FALSE),"n/a")</f>
        <v>261895.67229999998</v>
      </c>
      <c r="L129" s="136">
        <f>_xlfn.IFNA(VLOOKUP(A129,[1]IRESS!$A$10:$F$875,4,FALSE),"n/a")</f>
        <v>6</v>
      </c>
      <c r="M129" s="138">
        <f t="shared" si="1"/>
        <v>6.6659445594073871E-2</v>
      </c>
      <c r="N129" s="139" t="e">
        <f>VLOOKUP(A129,[1]Spreads!$A$1:$G$87,2,FALSE)</f>
        <v>#N/A</v>
      </c>
      <c r="O129" s="137" t="e">
        <f>VLOOKUP(A129,[1]Spreads!$A$1:$G$87,5,FALSE)/1000</f>
        <v>#N/A</v>
      </c>
      <c r="P129" s="140" t="e">
        <f>VLOOKUP(A129,[1]Spreads!$A$1:$G$87,6,FALSE)/1000</f>
        <v>#N/A</v>
      </c>
      <c r="R129" s="141">
        <f>_xlfn.IFNA(VLOOKUP($A129,[1]IRESS!$A$11:$AE$696,6,FALSE)/100,"n/a")</f>
        <v>1.0110999999999999</v>
      </c>
      <c r="S129" s="117"/>
      <c r="T129" s="142" t="str">
        <f>IF(VLOOKUP($A129,[1]FE!$A$2:$G$498,3,FALSE)="N/A","n/a",IFERROR(VLOOKUP($A129,[1]FE!$A$2:$G$498,3,FALSE),"n/a"))</f>
        <v>2.55%</v>
      </c>
      <c r="U129" s="138" t="str">
        <f>IF(VLOOKUP($A129,[1]FE!$A$2:$G$498,4,FALSE)="N/A","n/a",IFERROR(VLOOKUP($A129,[1]FE!$A$2:$G$498,4,FALSE),"n/a"))</f>
        <v>6.58%</v>
      </c>
      <c r="V129" s="142" t="str">
        <f>IF(VLOOKUP($A129,[1]FE!$A$2:$G$498,5,FALSE)="N/A","n/a",IFERROR(VLOOKUP($A129,[1]FE!$A$2:$G$498,5,FALSE),"n/a"))</f>
        <v>0.31%</v>
      </c>
      <c r="W129" s="138" t="str">
        <f>IF(VLOOKUP($A129,[1]FE!$A$2:$G$498,6,FALSE)="N/A","n/a",IFERROR(VLOOKUP($A129,[1]FE!$A$2:$G$498,6,FALSE),"n/a"))</f>
        <v>4.80%</v>
      </c>
      <c r="X129" s="142" t="str">
        <f>IF(VLOOKUP($A129,[1]FE!$A$2:$G$498,7,FALSE)="N/A","n/a",IFERROR(VLOOKUP($A129,[1]FE!$A$2:$G$498,7,FALSE),"n/a"))</f>
        <v>8.55%</v>
      </c>
    </row>
    <row r="130" spans="1:24" ht="18.75">
      <c r="A130" s="129" t="s">
        <v>411</v>
      </c>
      <c r="B130" s="130" t="s">
        <v>298</v>
      </c>
      <c r="C130" s="148" t="str">
        <f>VLOOKUP(A130,'[1]mFund List'!$A$2:$B$311,2,FALSE)</f>
        <v>RARE Infrastructure Value Fund - Unhedged</v>
      </c>
      <c r="D130" s="149"/>
      <c r="E130" s="116"/>
      <c r="F130" s="133" t="str">
        <f>_xlfn.IFNA(VLOOKUP(A130,'[1]mFund List'!$A$2:$I$200,6,FALSE),"n/a")</f>
        <v>0.97%</v>
      </c>
      <c r="G130" s="134">
        <f>_xlfn.IFNA(VLOOKUP(A130,'[1]mFund List'!$A$2:$J$200,8,FALSE)/1000000,"n/a")</f>
        <v>8.2124797229823798</v>
      </c>
      <c r="H130" s="135">
        <f>_xlfn.IFNA(VLOOKUP(A130,'[1]mFund List'!$A$2:$N$200,14,FALSE)/1000000,"n/a")</f>
        <v>0.16723043679109961</v>
      </c>
      <c r="I130" s="134">
        <f>_xlfn.IFNA(VLOOKUP(A130,'[1]mFund List'!$A$2:$R$200,18,FALSE)/1000000,"n/a")</f>
        <v>-0.20406791328745982</v>
      </c>
      <c r="J130" s="136">
        <f>_xlfn.IFNA(VLOOKUP(A130,[1]IRESS!$A$10:$F$875,5,FALSE),"n/a")</f>
        <v>580561.09</v>
      </c>
      <c r="K130" s="137">
        <f>_xlfn.IFNA(VLOOKUP(A130,[1]IRESS!$A$11:$G$684,7,FALSE),"n/a")</f>
        <v>490443.71850000002</v>
      </c>
      <c r="L130" s="136">
        <f>_xlfn.IFNA(VLOOKUP(A130,[1]IRESS!$A$10:$F$875,4,FALSE),"n/a")</f>
        <v>10</v>
      </c>
      <c r="M130" s="138">
        <f t="shared" si="1"/>
        <v>7.0692544710377433E-2</v>
      </c>
      <c r="N130" s="139" t="e">
        <f>VLOOKUP(A130,[1]Spreads!$A$1:$G$87,2,FALSE)</f>
        <v>#N/A</v>
      </c>
      <c r="O130" s="137" t="e">
        <f>VLOOKUP(A130,[1]Spreads!$A$1:$G$87,5,FALSE)/1000</f>
        <v>#N/A</v>
      </c>
      <c r="P130" s="140" t="e">
        <f>VLOOKUP(A130,[1]Spreads!$A$1:$G$87,6,FALSE)/1000</f>
        <v>#N/A</v>
      </c>
      <c r="R130" s="141">
        <f>_xlfn.IFNA(VLOOKUP($A130,[1]IRESS!$A$11:$AE$696,6,FALSE)/100,"n/a")</f>
        <v>1.2422</v>
      </c>
      <c r="S130" s="117"/>
      <c r="T130" s="142" t="str">
        <f>IF(VLOOKUP($A130,[1]FE!$A$2:$G$498,3,FALSE)="N/A","n/a",IFERROR(VLOOKUP($A130,[1]FE!$A$2:$G$498,3,FALSE),"n/a"))</f>
        <v>4.62%</v>
      </c>
      <c r="U130" s="138" t="str">
        <f>IF(VLOOKUP($A130,[1]FE!$A$2:$G$498,4,FALSE)="N/A","n/a",IFERROR(VLOOKUP($A130,[1]FE!$A$2:$G$498,4,FALSE),"n/a"))</f>
        <v>6.63%</v>
      </c>
      <c r="V130" s="142" t="str">
        <f>IF(VLOOKUP($A130,[1]FE!$A$2:$G$498,5,FALSE)="N/A","n/a",IFERROR(VLOOKUP($A130,[1]FE!$A$2:$G$498,5,FALSE),"n/a"))</f>
        <v>3.50%</v>
      </c>
      <c r="W130" s="138" t="str">
        <f>IF(VLOOKUP($A130,[1]FE!$A$2:$G$498,6,FALSE)="N/A","n/a",IFERROR(VLOOKUP($A130,[1]FE!$A$2:$G$498,6,FALSE),"n/a"))</f>
        <v>5.47%</v>
      </c>
      <c r="X130" s="142" t="str">
        <f>IF(VLOOKUP($A130,[1]FE!$A$2:$G$498,7,FALSE)="N/A","n/a",IFERROR(VLOOKUP($A130,[1]FE!$A$2:$G$498,7,FALSE),"n/a"))</f>
        <v>10.09%</v>
      </c>
    </row>
    <row r="131" spans="1:24" s="45" customFormat="1" ht="18.75">
      <c r="A131" s="129" t="s">
        <v>412</v>
      </c>
      <c r="B131" s="130" t="s">
        <v>298</v>
      </c>
      <c r="C131" s="148" t="str">
        <f>VLOOKUP(A131,'[1]mFund List'!$A$2:$B$311,2,FALSE)</f>
        <v>RARE Infrastructure Income</v>
      </c>
      <c r="D131" s="149"/>
      <c r="E131" s="116"/>
      <c r="F131" s="133" t="str">
        <f>_xlfn.IFNA(VLOOKUP(A131,'[1]mFund List'!$A$2:$I$200,6,FALSE),"n/a")</f>
        <v>1.03%</v>
      </c>
      <c r="G131" s="134">
        <f>_xlfn.IFNA(VLOOKUP(A131,'[1]mFund List'!$A$2:$J$200,8,FALSE)/1000000,"n/a")</f>
        <v>0.33037987150896003</v>
      </c>
      <c r="H131" s="135">
        <f>_xlfn.IFNA(VLOOKUP(A131,'[1]mFund List'!$A$2:$N$200,14,FALSE)/1000000,"n/a")</f>
        <v>1.3575092665920035E-2</v>
      </c>
      <c r="I131" s="134">
        <f>_xlfn.IFNA(VLOOKUP(A131,'[1]mFund List'!$A$2:$R$200,18,FALSE)/1000000,"n/a")</f>
        <v>0</v>
      </c>
      <c r="J131" s="136" t="str">
        <f>_xlfn.IFNA(VLOOKUP(A131,[1]IRESS!$A$10:$F$875,5,FALSE),"n/a")</f>
        <v>0</v>
      </c>
      <c r="K131" s="137" t="str">
        <f>_xlfn.IFNA(VLOOKUP(A131,[1]IRESS!$A$11:$G$684,7,FALSE),"n/a")</f>
        <v>0</v>
      </c>
      <c r="L131" s="136" t="str">
        <f>_xlfn.IFNA(VLOOKUP(A131,[1]IRESS!$A$10:$F$875,4,FALSE),"n/a")</f>
        <v>0</v>
      </c>
      <c r="M131" s="138">
        <f t="shared" si="1"/>
        <v>0</v>
      </c>
      <c r="N131" s="139" t="e">
        <f>VLOOKUP(A131,[1]Spreads!$A$1:$G$87,2,FALSE)</f>
        <v>#N/A</v>
      </c>
      <c r="O131" s="137" t="e">
        <f>VLOOKUP(A131,[1]Spreads!$A$1:$G$87,5,FALSE)/1000</f>
        <v>#N/A</v>
      </c>
      <c r="P131" s="140" t="e">
        <f>VLOOKUP(A131,[1]Spreads!$A$1:$G$87,6,FALSE)/1000</f>
        <v>#N/A</v>
      </c>
      <c r="Q131" s="7"/>
      <c r="R131" s="141">
        <f>_xlfn.IFNA(VLOOKUP($A131,[1]IRESS!$A$11:$AE$696,6,FALSE)/100,"n/a")</f>
        <v>1.2558</v>
      </c>
      <c r="S131" s="117"/>
      <c r="T131" s="142" t="str">
        <f>IF(VLOOKUP($A131,[1]FE!$A$2:$G$498,3,FALSE)="N/A","n/a",IFERROR(VLOOKUP($A131,[1]FE!$A$2:$G$498,3,FALSE),"n/a"))</f>
        <v>4.29%</v>
      </c>
      <c r="U131" s="138" t="str">
        <f>IF(VLOOKUP($A131,[1]FE!$A$2:$G$498,4,FALSE)="N/A","n/a",IFERROR(VLOOKUP($A131,[1]FE!$A$2:$G$498,4,FALSE),"n/a"))</f>
        <v>8.34%</v>
      </c>
      <c r="V131" s="142" t="str">
        <f>IF(VLOOKUP($A131,[1]FE!$A$2:$G$498,5,FALSE)="N/A","n/a",IFERROR(VLOOKUP($A131,[1]FE!$A$2:$G$498,5,FALSE),"n/a"))</f>
        <v>-0.83%</v>
      </c>
      <c r="W131" s="138" t="str">
        <f>IF(VLOOKUP($A131,[1]FE!$A$2:$G$498,6,FALSE)="N/A","n/a",IFERROR(VLOOKUP($A131,[1]FE!$A$2:$G$498,6,FALSE),"n/a"))</f>
        <v>5.80%</v>
      </c>
      <c r="X131" s="142" t="str">
        <f>IF(VLOOKUP($A131,[1]FE!$A$2:$G$498,7,FALSE)="N/A","n/a",IFERROR(VLOOKUP($A131,[1]FE!$A$2:$G$498,7,FALSE),"n/a"))</f>
        <v>9.43%</v>
      </c>
    </row>
    <row r="132" spans="1:24" ht="18.75">
      <c r="A132" s="129" t="s">
        <v>413</v>
      </c>
      <c r="B132" s="130" t="s">
        <v>298</v>
      </c>
      <c r="C132" s="148" t="str">
        <f>VLOOKUP(A132,'[1]mFund List'!$A$2:$B$311,2,FALSE)</f>
        <v>RARE Emerging Markets</v>
      </c>
      <c r="D132" s="149"/>
      <c r="E132" s="116"/>
      <c r="F132" s="133" t="str">
        <f>_xlfn.IFNA(VLOOKUP(A132,'[1]mFund List'!$A$2:$I$200,6,FALSE),"n/a")</f>
        <v>1.23%</v>
      </c>
      <c r="G132" s="134">
        <f>_xlfn.IFNA(VLOOKUP(A132,'[1]mFund List'!$A$2:$J$200,8,FALSE)/1000000,"n/a")</f>
        <v>0.18933368314640001</v>
      </c>
      <c r="H132" s="135">
        <f>_xlfn.IFNA(VLOOKUP(A132,'[1]mFund List'!$A$2:$N$200,14,FALSE)/1000000,"n/a")</f>
        <v>-5.5279907487999881E-3</v>
      </c>
      <c r="I132" s="134">
        <f>_xlfn.IFNA(VLOOKUP(A132,'[1]mFund List'!$A$2:$R$200,18,FALSE)/1000000,"n/a")</f>
        <v>0</v>
      </c>
      <c r="J132" s="136" t="str">
        <f>_xlfn.IFNA(VLOOKUP(A132,[1]IRESS!$A$10:$F$875,5,FALSE),"n/a")</f>
        <v>0</v>
      </c>
      <c r="K132" s="137" t="str">
        <f>_xlfn.IFNA(VLOOKUP(A132,[1]IRESS!$A$11:$G$684,7,FALSE),"n/a")</f>
        <v>0</v>
      </c>
      <c r="L132" s="136" t="str">
        <f>_xlfn.IFNA(VLOOKUP(A132,[1]IRESS!$A$10:$F$875,4,FALSE),"n/a")</f>
        <v>0</v>
      </c>
      <c r="M132" s="138">
        <f t="shared" si="1"/>
        <v>0</v>
      </c>
      <c r="N132" s="139" t="e">
        <f>VLOOKUP(A132,[1]Spreads!$A$1:$G$87,2,FALSE)</f>
        <v>#N/A</v>
      </c>
      <c r="O132" s="137" t="e">
        <f>VLOOKUP(A132,[1]Spreads!$A$1:$G$87,5,FALSE)/1000</f>
        <v>#N/A</v>
      </c>
      <c r="P132" s="140" t="e">
        <f>VLOOKUP(A132,[1]Spreads!$A$1:$G$87,6,FALSE)/1000</f>
        <v>#N/A</v>
      </c>
      <c r="R132" s="141">
        <f>_xlfn.IFNA(VLOOKUP($A132,[1]IRESS!$A$11:$AE$696,6,FALSE)/100,"n/a")</f>
        <v>1.8632</v>
      </c>
      <c r="S132" s="117"/>
      <c r="T132" s="142" t="str">
        <f>IF(VLOOKUP($A132,[1]FE!$A$2:$G$498,3,FALSE)="N/A","n/a",IFERROR(VLOOKUP($A132,[1]FE!$A$2:$G$498,3,FALSE),"n/a"))</f>
        <v>-2.84%</v>
      </c>
      <c r="U132" s="138" t="str">
        <f>IF(VLOOKUP($A132,[1]FE!$A$2:$G$498,4,FALSE)="N/A","n/a",IFERROR(VLOOKUP($A132,[1]FE!$A$2:$G$498,4,FALSE),"n/a"))</f>
        <v>-7.04%</v>
      </c>
      <c r="V132" s="142" t="str">
        <f>IF(VLOOKUP($A132,[1]FE!$A$2:$G$498,5,FALSE)="N/A","n/a",IFERROR(VLOOKUP($A132,[1]FE!$A$2:$G$498,5,FALSE),"n/a"))</f>
        <v>-7.84%</v>
      </c>
      <c r="W132" s="138" t="str">
        <f>IF(VLOOKUP($A132,[1]FE!$A$2:$G$498,6,FALSE)="N/A","n/a",IFERROR(VLOOKUP($A132,[1]FE!$A$2:$G$498,6,FALSE),"n/a"))</f>
        <v>0.09%</v>
      </c>
      <c r="X132" s="142" t="str">
        <f>IF(VLOOKUP($A132,[1]FE!$A$2:$G$498,7,FALSE)="N/A","n/a",IFERROR(VLOOKUP($A132,[1]FE!$A$2:$G$498,7,FALSE),"n/a"))</f>
        <v>5.55%</v>
      </c>
    </row>
    <row r="133" spans="1:24" ht="18.75">
      <c r="A133" s="129" t="s">
        <v>414</v>
      </c>
      <c r="B133" s="130" t="s">
        <v>298</v>
      </c>
      <c r="C133" s="148" t="str">
        <f>VLOOKUP(A133,'[1]mFund List'!$A$2:$B$311,2,FALSE)</f>
        <v>Redpoint Global Infrastructure</v>
      </c>
      <c r="D133" s="149"/>
      <c r="E133" s="116"/>
      <c r="F133" s="133" t="str">
        <f>_xlfn.IFNA(VLOOKUP(A133,'[1]mFund List'!$A$2:$I$200,6,FALSE),"n/a")</f>
        <v>0.70%</v>
      </c>
      <c r="G133" s="134">
        <f>_xlfn.IFNA(VLOOKUP(A133,'[1]mFund List'!$A$2:$J$200,8,FALSE)/1000000,"n/a")</f>
        <v>0.42253309736308048</v>
      </c>
      <c r="H133" s="135">
        <f>_xlfn.IFNA(VLOOKUP(A133,'[1]mFund List'!$A$2:$N$200,14,FALSE)/1000000,"n/a")</f>
        <v>1.118057591317047E-2</v>
      </c>
      <c r="I133" s="134">
        <f>_xlfn.IFNA(VLOOKUP(A133,'[1]mFund List'!$A$2:$R$200,18,FALSE)/1000000,"n/a")</f>
        <v>0</v>
      </c>
      <c r="J133" s="136" t="str">
        <f>_xlfn.IFNA(VLOOKUP(A133,[1]IRESS!$A$10:$F$875,5,FALSE),"n/a")</f>
        <v>0</v>
      </c>
      <c r="K133" s="137" t="str">
        <f>_xlfn.IFNA(VLOOKUP(A133,[1]IRESS!$A$11:$G$684,7,FALSE),"n/a")</f>
        <v>0</v>
      </c>
      <c r="L133" s="136" t="str">
        <f>_xlfn.IFNA(VLOOKUP(A133,[1]IRESS!$A$10:$F$875,4,FALSE),"n/a")</f>
        <v>0</v>
      </c>
      <c r="M133" s="138">
        <f t="shared" si="1"/>
        <v>0</v>
      </c>
      <c r="N133" s="139" t="e">
        <f>VLOOKUP(A133,[1]Spreads!$A$1:$G$87,2,FALSE)</f>
        <v>#N/A</v>
      </c>
      <c r="O133" s="137" t="e">
        <f>VLOOKUP(A133,[1]Spreads!$A$1:$G$87,5,FALSE)/1000</f>
        <v>#N/A</v>
      </c>
      <c r="P133" s="140" t="e">
        <f>VLOOKUP(A133,[1]Spreads!$A$1:$G$87,6,FALSE)/1000</f>
        <v>#N/A</v>
      </c>
      <c r="R133" s="141">
        <f>_xlfn.IFNA(VLOOKUP($A133,[1]IRESS!$A$11:$AE$696,6,FALSE)/100,"n/a")</f>
        <v>1.5866849999999999</v>
      </c>
      <c r="S133" s="117"/>
      <c r="T133" s="142" t="str">
        <f>IF(VLOOKUP($A133,[1]FE!$A$2:$G$498,3,FALSE)="N/A","n/a",IFERROR(VLOOKUP($A133,[1]FE!$A$2:$G$498,3,FALSE),"n/a"))</f>
        <v>2.72%</v>
      </c>
      <c r="U133" s="138" t="str">
        <f>IF(VLOOKUP($A133,[1]FE!$A$2:$G$498,4,FALSE)="N/A","n/a",IFERROR(VLOOKUP($A133,[1]FE!$A$2:$G$498,4,FALSE),"n/a"))</f>
        <v>6.72%</v>
      </c>
      <c r="V133" s="142" t="str">
        <f>IF(VLOOKUP($A133,[1]FE!$A$2:$G$498,5,FALSE)="N/A","n/a",IFERROR(VLOOKUP($A133,[1]FE!$A$2:$G$498,5,FALSE),"n/a"))</f>
        <v>4.88%</v>
      </c>
      <c r="W133" s="138" t="str">
        <f>IF(VLOOKUP($A133,[1]FE!$A$2:$G$498,6,FALSE)="N/A","n/a",IFERROR(VLOOKUP($A133,[1]FE!$A$2:$G$498,6,FALSE),"n/a"))</f>
        <v>9.05%</v>
      </c>
      <c r="X133" s="142" t="str">
        <f>IF(VLOOKUP($A133,[1]FE!$A$2:$G$498,7,FALSE)="N/A","n/a",IFERROR(VLOOKUP($A133,[1]FE!$A$2:$G$498,7,FALSE),"n/a"))</f>
        <v>10.40%</v>
      </c>
    </row>
    <row r="134" spans="1:24" ht="18.75">
      <c r="A134" s="129" t="s">
        <v>415</v>
      </c>
      <c r="B134" s="130" t="s">
        <v>298</v>
      </c>
      <c r="C134" s="148" t="str">
        <f>VLOOKUP(A134,'[1]mFund List'!$A$2:$B$311,2,FALSE)</f>
        <v>UBS Clarion Global Infrastructure Securities Fund</v>
      </c>
      <c r="D134" s="149"/>
      <c r="E134" s="116"/>
      <c r="F134" s="133" t="str">
        <f>_xlfn.IFNA(VLOOKUP(A134,'[1]mFund List'!$A$2:$I$200,6,FALSE),"n/a")</f>
        <v>1.00%</v>
      </c>
      <c r="G134" s="134">
        <f>_xlfn.IFNA(VLOOKUP(A134,'[1]mFund List'!$A$2:$J$200,8,FALSE)/1000000,"n/a")</f>
        <v>0.14007801181439999</v>
      </c>
      <c r="H134" s="135">
        <f>_xlfn.IFNA(VLOOKUP(A134,'[1]mFund List'!$A$2:$N$200,14,FALSE)/1000000,"n/a")</f>
        <v>3.1378951965600005E-2</v>
      </c>
      <c r="I134" s="134">
        <f>_xlfn.IFNA(VLOOKUP(A134,'[1]mFund List'!$A$2:$R$200,18,FALSE)/1000000,"n/a")</f>
        <v>2.9401174195200004E-2</v>
      </c>
      <c r="J134" s="136">
        <f>_xlfn.IFNA(VLOOKUP(A134,[1]IRESS!$A$10:$F$875,5,FALSE),"n/a")</f>
        <v>29030</v>
      </c>
      <c r="K134" s="137">
        <f>_xlfn.IFNA(VLOOKUP(A134,[1]IRESS!$A$11:$G$684,7,FALSE),"n/a")</f>
        <v>26139.024000000001</v>
      </c>
      <c r="L134" s="136">
        <f>_xlfn.IFNA(VLOOKUP(A134,[1]IRESS!$A$10:$F$875,4,FALSE),"n/a")</f>
        <v>1</v>
      </c>
      <c r="M134" s="138">
        <f t="shared" si="1"/>
        <v>0.20724166215654211</v>
      </c>
      <c r="N134" s="139" t="e">
        <f>VLOOKUP(A134,[1]Spreads!$A$1:$G$87,2,FALSE)</f>
        <v>#N/A</v>
      </c>
      <c r="O134" s="137" t="e">
        <f>VLOOKUP(A134,[1]Spreads!$A$1:$G$87,5,FALSE)/1000</f>
        <v>#N/A</v>
      </c>
      <c r="P134" s="140" t="e">
        <f>VLOOKUP(A134,[1]Spreads!$A$1:$G$87,6,FALSE)/1000</f>
        <v>#N/A</v>
      </c>
      <c r="R134" s="141">
        <f>_xlfn.IFNA(VLOOKUP($A134,[1]IRESS!$A$11:$AE$696,6,FALSE)/100,"n/a")</f>
        <v>1.1248</v>
      </c>
      <c r="S134" s="117"/>
      <c r="T134" s="142" t="str">
        <f>IF(VLOOKUP($A134,[1]FE!$A$2:$G$498,3,FALSE)="N/A","n/a",IFERROR(VLOOKUP($A134,[1]FE!$A$2:$G$498,3,FALSE),"n/a"))</f>
        <v>1.81%</v>
      </c>
      <c r="U134" s="138" t="str">
        <f>IF(VLOOKUP($A134,[1]FE!$A$2:$G$498,4,FALSE)="N/A","n/a",IFERROR(VLOOKUP($A134,[1]FE!$A$2:$G$498,4,FALSE),"n/a"))</f>
        <v>6.22%</v>
      </c>
      <c r="V134" s="142" t="str">
        <f>IF(VLOOKUP($A134,[1]FE!$A$2:$G$498,5,FALSE)="N/A","n/a",IFERROR(VLOOKUP($A134,[1]FE!$A$2:$G$498,5,FALSE),"n/a"))</f>
        <v>4.67%</v>
      </c>
      <c r="W134" s="138" t="str">
        <f>IF(VLOOKUP($A134,[1]FE!$A$2:$G$498,6,FALSE)="N/A","n/a",IFERROR(VLOOKUP($A134,[1]FE!$A$2:$G$498,6,FALSE),"n/a"))</f>
        <v>n/a</v>
      </c>
      <c r="X134" s="142" t="str">
        <f>IF(VLOOKUP($A134,[1]FE!$A$2:$G$498,7,FALSE)="N/A","n/a",IFERROR(VLOOKUP($A134,[1]FE!$A$2:$G$498,7,FALSE),"n/a"))</f>
        <v>n/a</v>
      </c>
    </row>
    <row r="135" spans="1:24" s="108" customFormat="1" ht="18.75">
      <c r="A135" s="123" t="s">
        <v>160</v>
      </c>
      <c r="B135" s="124"/>
      <c r="C135" s="124"/>
      <c r="D135" s="124"/>
      <c r="E135" s="116"/>
      <c r="F135" s="143"/>
      <c r="G135" s="144"/>
      <c r="H135" s="144"/>
      <c r="I135" s="144"/>
      <c r="J135" s="145"/>
      <c r="K135" s="145"/>
      <c r="L135" s="145"/>
      <c r="M135" s="146"/>
      <c r="N135" s="146"/>
      <c r="O135" s="145"/>
      <c r="P135" s="145"/>
      <c r="Q135" s="7"/>
      <c r="R135" s="147"/>
      <c r="S135" s="117"/>
      <c r="T135" s="125"/>
      <c r="U135" s="125"/>
      <c r="V135" s="125"/>
      <c r="W135" s="125"/>
      <c r="X135" s="125"/>
    </row>
    <row r="136" spans="1:24" ht="18.75">
      <c r="A136" s="129" t="s">
        <v>416</v>
      </c>
      <c r="B136" s="130" t="s">
        <v>298</v>
      </c>
      <c r="C136" s="131" t="str">
        <f>VLOOKUP(A136,'[1]mFund List'!$A$2:$B$311,2,FALSE)</f>
        <v>Atlas High Income Property Fund</v>
      </c>
      <c r="D136" s="132"/>
      <c r="E136" s="116"/>
      <c r="F136" s="133" t="str">
        <f>_xlfn.IFNA(VLOOKUP(A136,'[1]mFund List'!$A$2:$I$200,6,FALSE),"n/a")</f>
        <v>0.95%</v>
      </c>
      <c r="G136" s="134">
        <f>_xlfn.IFNA(VLOOKUP(A136,'[1]mFund List'!$A$2:$J$200,8,FALSE)/1000000,"n/a")</f>
        <v>2.2949392082540001</v>
      </c>
      <c r="H136" s="135">
        <f>_xlfn.IFNA(VLOOKUP(A136,'[1]mFund List'!$A$2:$N$200,14,FALSE)/1000000,"n/a")</f>
        <v>3.2154910452000328E-2</v>
      </c>
      <c r="I136" s="134">
        <f>_xlfn.IFNA(VLOOKUP(A136,'[1]mFund List'!$A$2:$R$200,18,FALSE)/1000000,"n/a")</f>
        <v>2.8415815904736521E-16</v>
      </c>
      <c r="J136" s="136" t="str">
        <f>_xlfn.IFNA(VLOOKUP(A136,[1]IRESS!$A$10:$F$875,5,FALSE),"n/a")</f>
        <v>0</v>
      </c>
      <c r="K136" s="137" t="str">
        <f>_xlfn.IFNA(VLOOKUP(A136,[1]IRESS!$A$11:$G$684,7,FALSE),"n/a")</f>
        <v>0</v>
      </c>
      <c r="L136" s="136" t="str">
        <f>_xlfn.IFNA(VLOOKUP(A136,[1]IRESS!$A$10:$F$875,4,FALSE),"n/a")</f>
        <v>0</v>
      </c>
      <c r="M136" s="138">
        <f t="shared" si="1"/>
        <v>0</v>
      </c>
      <c r="N136" s="139" t="e">
        <f>VLOOKUP(A136,[1]Spreads!$A$1:$G$87,2,FALSE)</f>
        <v>#N/A</v>
      </c>
      <c r="O136" s="137" t="e">
        <f>VLOOKUP(A136,[1]Spreads!$A$1:$G$87,5,FALSE)/1000</f>
        <v>#N/A</v>
      </c>
      <c r="P136" s="140" t="e">
        <f>VLOOKUP(A136,[1]Spreads!$A$1:$G$87,6,FALSE)/1000</f>
        <v>#N/A</v>
      </c>
      <c r="R136" s="141">
        <f>_xlfn.IFNA(VLOOKUP($A136,[1]IRESS!$A$11:$AE$696,6,FALSE)/100,"n/a")</f>
        <v>2.4409000000000001</v>
      </c>
      <c r="S136" s="117"/>
      <c r="T136" s="142" t="str">
        <f>IF(VLOOKUP($A136,[1]FE!$A$2:$G$498,3,FALSE)="N/A","n/a",IFERROR(VLOOKUP($A136,[1]FE!$A$2:$G$498,3,FALSE),"n/a"))</f>
        <v>1.42%</v>
      </c>
      <c r="U136" s="138" t="str">
        <f>IF(VLOOKUP($A136,[1]FE!$A$2:$G$498,4,FALSE)="N/A","n/a",IFERROR(VLOOKUP($A136,[1]FE!$A$2:$G$498,4,FALSE),"n/a"))</f>
        <v>7.96%</v>
      </c>
      <c r="V136" s="142" t="str">
        <f>IF(VLOOKUP($A136,[1]FE!$A$2:$G$498,5,FALSE)="N/A","n/a",IFERROR(VLOOKUP($A136,[1]FE!$A$2:$G$498,5,FALSE),"n/a"))</f>
        <v>8.46%</v>
      </c>
      <c r="W136" s="138" t="str">
        <f>IF(VLOOKUP($A136,[1]FE!$A$2:$G$498,6,FALSE)="N/A","n/a",IFERROR(VLOOKUP($A136,[1]FE!$A$2:$G$498,6,FALSE),"n/a"))</f>
        <v>n/a</v>
      </c>
      <c r="X136" s="142" t="str">
        <f>IF(VLOOKUP($A136,[1]FE!$A$2:$G$498,7,FALSE)="N/A","n/a",IFERROR(VLOOKUP($A136,[1]FE!$A$2:$G$498,7,FALSE),"n/a"))</f>
        <v>n/a</v>
      </c>
    </row>
    <row r="137" spans="1:24" ht="18.75">
      <c r="A137" s="129" t="s">
        <v>417</v>
      </c>
      <c r="B137" s="130" t="s">
        <v>298</v>
      </c>
      <c r="C137" s="131" t="str">
        <f>VLOOKUP(A137,'[1]mFund List'!$A$2:$B$311,2,FALSE)</f>
        <v>APN AREIT Fund</v>
      </c>
      <c r="D137" s="132"/>
      <c r="E137" s="116"/>
      <c r="F137" s="133" t="str">
        <f>_xlfn.IFNA(VLOOKUP(A137,'[1]mFund List'!$A$2:$I$200,6,FALSE),"n/a")</f>
        <v>0.85%</v>
      </c>
      <c r="G137" s="134">
        <f>_xlfn.IFNA(VLOOKUP(A137,'[1]mFund List'!$A$2:$J$200,8,FALSE)/1000000,"n/a")</f>
        <v>12.222114352452</v>
      </c>
      <c r="H137" s="135">
        <f>_xlfn.IFNA(VLOOKUP(A137,'[1]mFund List'!$A$2:$N$200,14,FALSE)/1000000,"n/a")</f>
        <v>-5.640005786400102E-2</v>
      </c>
      <c r="I137" s="134">
        <f>_xlfn.IFNA(VLOOKUP(A137,'[1]mFund List'!$A$2:$R$200,18,FALSE)/1000000,"n/a")</f>
        <v>-0.30678717746200196</v>
      </c>
      <c r="J137" s="136">
        <f>_xlfn.IFNA(VLOOKUP(A137,[1]IRESS!$A$10:$F$875,5,FALSE),"n/a")</f>
        <v>813113.6100000008</v>
      </c>
      <c r="K137" s="137">
        <f>_xlfn.IFNA(VLOOKUP(A137,[1]IRESS!$A$11:$G$684,7,FALSE),"n/a")</f>
        <v>485500.8</v>
      </c>
      <c r="L137" s="136">
        <f>_xlfn.IFNA(VLOOKUP(A137,[1]IRESS!$A$10:$F$875,4,FALSE),"n/a")</f>
        <v>151</v>
      </c>
      <c r="M137" s="138">
        <f t="shared" si="1"/>
        <v>6.6528064339119369E-2</v>
      </c>
      <c r="N137" s="139" t="e">
        <f>VLOOKUP(A137,[1]Spreads!$A$1:$G$87,2,FALSE)</f>
        <v>#N/A</v>
      </c>
      <c r="O137" s="137" t="e">
        <f>VLOOKUP(A137,[1]Spreads!$A$1:$G$87,5,FALSE)/1000</f>
        <v>#N/A</v>
      </c>
      <c r="P137" s="140" t="e">
        <f>VLOOKUP(A137,[1]Spreads!$A$1:$G$87,6,FALSE)/1000</f>
        <v>#N/A</v>
      </c>
      <c r="R137" s="141">
        <f>_xlfn.IFNA(VLOOKUP($A137,[1]IRESS!$A$11:$AE$696,6,FALSE)/100,"n/a")</f>
        <v>1.7062999999999999</v>
      </c>
      <c r="S137" s="117"/>
      <c r="T137" s="142" t="str">
        <f>IF(VLOOKUP($A137,[1]FE!$A$2:$G$498,3,FALSE)="N/A","n/a",IFERROR(VLOOKUP($A137,[1]FE!$A$2:$G$498,3,FALSE),"n/a"))</f>
        <v>2.57%</v>
      </c>
      <c r="U137" s="138" t="str">
        <f>IF(VLOOKUP($A137,[1]FE!$A$2:$G$498,4,FALSE)="N/A","n/a",IFERROR(VLOOKUP($A137,[1]FE!$A$2:$G$498,4,FALSE),"n/a"))</f>
        <v>9.72%</v>
      </c>
      <c r="V137" s="142" t="str">
        <f>IF(VLOOKUP($A137,[1]FE!$A$2:$G$498,5,FALSE)="N/A","n/a",IFERROR(VLOOKUP($A137,[1]FE!$A$2:$G$498,5,FALSE),"n/a"))</f>
        <v>11.01%</v>
      </c>
      <c r="W137" s="138" t="str">
        <f>IF(VLOOKUP($A137,[1]FE!$A$2:$G$498,6,FALSE)="N/A","n/a",IFERROR(VLOOKUP($A137,[1]FE!$A$2:$G$498,6,FALSE),"n/a"))</f>
        <v>9.35%</v>
      </c>
      <c r="X137" s="142" t="str">
        <f>IF(VLOOKUP($A137,[1]FE!$A$2:$G$498,7,FALSE)="N/A","n/a",IFERROR(VLOOKUP($A137,[1]FE!$A$2:$G$498,7,FALSE),"n/a"))</f>
        <v>11.96%</v>
      </c>
    </row>
    <row r="138" spans="1:24" s="45" customFormat="1" ht="18.75">
      <c r="A138" s="129" t="s">
        <v>418</v>
      </c>
      <c r="B138" s="130" t="s">
        <v>298</v>
      </c>
      <c r="C138" s="131" t="str">
        <f>VLOOKUP(A138,'[1]mFund List'!$A$2:$B$311,2,FALSE)</f>
        <v>Cromwell Core Listed Property</v>
      </c>
      <c r="D138" s="132"/>
      <c r="E138" s="116"/>
      <c r="F138" s="133" t="str">
        <f>_xlfn.IFNA(VLOOKUP(A138,'[1]mFund List'!$A$2:$I$200,6,FALSE),"n/a")</f>
        <v>0.80%</v>
      </c>
      <c r="G138" s="134">
        <f>_xlfn.IFNA(VLOOKUP(A138,'[1]mFund List'!$A$2:$J$200,8,FALSE)/1000000,"n/a")</f>
        <v>0.18583793493120002</v>
      </c>
      <c r="H138" s="135">
        <f>_xlfn.IFNA(VLOOKUP(A138,'[1]mFund List'!$A$2:$N$200,14,FALSE)/1000000,"n/a")</f>
        <v>7.3345346287400463E-3</v>
      </c>
      <c r="I138" s="134">
        <f>_xlfn.IFNA(VLOOKUP(A138,'[1]mFund List'!$A$2:$R$200,18,FALSE)/1000000,"n/a")</f>
        <v>4.859191305600012E-3</v>
      </c>
      <c r="J138" s="136">
        <f>_xlfn.IFNA(VLOOKUP(A138,[1]IRESS!$A$10:$F$875,5,FALSE),"n/a")</f>
        <v>35501.549999999996</v>
      </c>
      <c r="K138" s="137">
        <f>_xlfn.IFNA(VLOOKUP(A138,[1]IRESS!$A$11:$G$684,7,FALSE),"n/a")</f>
        <v>32554.594399999998</v>
      </c>
      <c r="L138" s="136">
        <f>_xlfn.IFNA(VLOOKUP(A138,[1]IRESS!$A$10:$F$875,4,FALSE),"n/a")</f>
        <v>5</v>
      </c>
      <c r="M138" s="138">
        <f t="shared" si="1"/>
        <v>0.19103500054035361</v>
      </c>
      <c r="N138" s="139" t="e">
        <f>VLOOKUP(A138,[1]Spreads!$A$1:$G$87,2,FALSE)</f>
        <v>#N/A</v>
      </c>
      <c r="O138" s="137" t="e">
        <f>VLOOKUP(A138,[1]Spreads!$A$1:$G$87,5,FALSE)/1000</f>
        <v>#N/A</v>
      </c>
      <c r="P138" s="140" t="e">
        <f>VLOOKUP(A138,[1]Spreads!$A$1:$G$87,6,FALSE)/1000</f>
        <v>#N/A</v>
      </c>
      <c r="Q138" s="7"/>
      <c r="R138" s="141">
        <f>_xlfn.IFNA(VLOOKUP($A138,[1]IRESS!$A$11:$AE$696,6,FALSE)/100,"n/a")</f>
        <v>1.1040000000000001</v>
      </c>
      <c r="S138" s="117"/>
      <c r="T138" s="142" t="str">
        <f>IF(VLOOKUP($A138,[1]FE!$A$2:$G$498,3,FALSE)="N/A","n/a",IFERROR(VLOOKUP($A138,[1]FE!$A$2:$G$498,3,FALSE),"n/a"))</f>
        <v>2.04%</v>
      </c>
      <c r="U138" s="138" t="str">
        <f>IF(VLOOKUP($A138,[1]FE!$A$2:$G$498,4,FALSE)="N/A","n/a",IFERROR(VLOOKUP($A138,[1]FE!$A$2:$G$498,4,FALSE),"n/a"))</f>
        <v>10.04%</v>
      </c>
      <c r="V138" s="142" t="str">
        <f>IF(VLOOKUP($A138,[1]FE!$A$2:$G$498,5,FALSE)="N/A","n/a",IFERROR(VLOOKUP($A138,[1]FE!$A$2:$G$498,5,FALSE),"n/a"))</f>
        <v>12.16%</v>
      </c>
      <c r="W138" s="138" t="str">
        <f>IF(VLOOKUP($A138,[1]FE!$A$2:$G$498,6,FALSE)="N/A","n/a",IFERROR(VLOOKUP($A138,[1]FE!$A$2:$G$498,6,FALSE),"n/a"))</f>
        <v>9.87%</v>
      </c>
      <c r="X138" s="142" t="str">
        <f>IF(VLOOKUP($A138,[1]FE!$A$2:$G$498,7,FALSE)="N/A","n/a",IFERROR(VLOOKUP($A138,[1]FE!$A$2:$G$498,7,FALSE),"n/a"))</f>
        <v>n/a</v>
      </c>
    </row>
    <row r="139" spans="1:24" ht="18.75">
      <c r="A139" s="129" t="s">
        <v>419</v>
      </c>
      <c r="B139" s="130" t="s">
        <v>298</v>
      </c>
      <c r="C139" s="131" t="str">
        <f>VLOOKUP(A139,'[1]mFund List'!$A$2:$B$311,2,FALSE)</f>
        <v>Legg Mason Australian Real Income A</v>
      </c>
      <c r="D139" s="132"/>
      <c r="E139" s="116"/>
      <c r="F139" s="133" t="str">
        <f>_xlfn.IFNA(VLOOKUP(A139,'[1]mFund List'!$A$2:$I$200,6,FALSE),"n/a")</f>
        <v>0.85%</v>
      </c>
      <c r="G139" s="134">
        <f>_xlfn.IFNA(VLOOKUP(A139,'[1]mFund List'!$A$2:$J$200,8,FALSE)/1000000,"n/a")</f>
        <v>11.921237308615531</v>
      </c>
      <c r="H139" s="135">
        <f>_xlfn.IFNA(VLOOKUP(A139,'[1]mFund List'!$A$2:$N$200,14,FALSE)/1000000,"n/a")</f>
        <v>0.40570457832027229</v>
      </c>
      <c r="I139" s="134">
        <f>_xlfn.IFNA(VLOOKUP(A139,'[1]mFund List'!$A$2:$R$200,18,FALSE)/1000000,"n/a")</f>
        <v>0.14648995099494155</v>
      </c>
      <c r="J139" s="136">
        <f>_xlfn.IFNA(VLOOKUP(A139,[1]IRESS!$A$10:$F$875,5,FALSE),"n/a")</f>
        <v>296464.11</v>
      </c>
      <c r="K139" s="137">
        <f>_xlfn.IFNA(VLOOKUP(A139,[1]IRESS!$A$11:$G$684,7,FALSE),"n/a")</f>
        <v>167811.26799999998</v>
      </c>
      <c r="L139" s="136">
        <f>_xlfn.IFNA(VLOOKUP(A139,[1]IRESS!$A$10:$F$875,4,FALSE),"n/a")</f>
        <v>7</v>
      </c>
      <c r="M139" s="138">
        <f t="shared" si="1"/>
        <v>2.4868568784025803E-2</v>
      </c>
      <c r="N139" s="139" t="e">
        <f>VLOOKUP(A139,[1]Spreads!$A$1:$G$87,2,FALSE)</f>
        <v>#N/A</v>
      </c>
      <c r="O139" s="137" t="e">
        <f>VLOOKUP(A139,[1]Spreads!$A$1:$G$87,5,FALSE)/1000</f>
        <v>#N/A</v>
      </c>
      <c r="P139" s="140" t="e">
        <f>VLOOKUP(A139,[1]Spreads!$A$1:$G$87,6,FALSE)/1000</f>
        <v>#N/A</v>
      </c>
      <c r="R139" s="141">
        <f>_xlfn.IFNA(VLOOKUP($A139,[1]IRESS!$A$11:$AE$696,6,FALSE)/100,"n/a")</f>
        <v>1.7947300000000002</v>
      </c>
      <c r="S139" s="117"/>
      <c r="T139" s="142" t="str">
        <f>IF(VLOOKUP($A139,[1]FE!$A$2:$G$498,3,FALSE)="N/A","n/a",IFERROR(VLOOKUP($A139,[1]FE!$A$2:$G$498,3,FALSE),"n/a"))</f>
        <v>2.25%</v>
      </c>
      <c r="U139" s="138" t="str">
        <f>IF(VLOOKUP($A139,[1]FE!$A$2:$G$498,4,FALSE)="N/A","n/a",IFERROR(VLOOKUP($A139,[1]FE!$A$2:$G$498,4,FALSE),"n/a"))</f>
        <v>7.22%</v>
      </c>
      <c r="V139" s="142" t="str">
        <f>IF(VLOOKUP($A139,[1]FE!$A$2:$G$498,5,FALSE)="N/A","n/a",IFERROR(VLOOKUP($A139,[1]FE!$A$2:$G$498,5,FALSE),"n/a"))</f>
        <v>6.84%</v>
      </c>
      <c r="W139" s="138" t="str">
        <f>IF(VLOOKUP($A139,[1]FE!$A$2:$G$498,6,FALSE)="N/A","n/a",IFERROR(VLOOKUP($A139,[1]FE!$A$2:$G$498,6,FALSE),"n/a"))</f>
        <v>12.27%</v>
      </c>
      <c r="X139" s="142" t="str">
        <f>IF(VLOOKUP($A139,[1]FE!$A$2:$G$498,7,FALSE)="N/A","n/a",IFERROR(VLOOKUP($A139,[1]FE!$A$2:$G$498,7,FALSE),"n/a"))</f>
        <v>14.93%</v>
      </c>
    </row>
    <row r="140" spans="1:24" ht="18.75">
      <c r="A140" s="129" t="s">
        <v>420</v>
      </c>
      <c r="B140" s="130" t="s">
        <v>298</v>
      </c>
      <c r="C140" s="131" t="str">
        <f>VLOOKUP(A140,'[1]mFund List'!$A$2:$B$311,2,FALSE)</f>
        <v>SGH Property Income</v>
      </c>
      <c r="D140" s="132"/>
      <c r="E140" s="116"/>
      <c r="F140" s="133" t="str">
        <f>_xlfn.IFNA(VLOOKUP(A140,'[1]mFund List'!$A$2:$I$200,6,FALSE),"n/a")</f>
        <v>0.95%</v>
      </c>
      <c r="G140" s="134">
        <f>_xlfn.IFNA(VLOOKUP(A140,'[1]mFund List'!$A$2:$J$200,8,FALSE)/1000000,"n/a")</f>
        <v>1.3099944881029999</v>
      </c>
      <c r="H140" s="135">
        <f>_xlfn.IFNA(VLOOKUP(A140,'[1]mFund List'!$A$2:$N$200,14,FALSE)/1000000,"n/a")</f>
        <v>3.5163797964598053E-3</v>
      </c>
      <c r="I140" s="134">
        <f>_xlfn.IFNA(VLOOKUP(A140,'[1]mFund List'!$A$2:$R$200,18,FALSE)/1000000,"n/a")</f>
        <v>-1.6284403658000095E-2</v>
      </c>
      <c r="J140" s="136">
        <f>_xlfn.IFNA(VLOOKUP(A140,[1]IRESS!$A$10:$F$875,5,FALSE),"n/a")</f>
        <v>16224.77</v>
      </c>
      <c r="K140" s="137">
        <f>_xlfn.IFNA(VLOOKUP(A140,[1]IRESS!$A$11:$G$684,7,FALSE),"n/a")</f>
        <v>45871.559600000001</v>
      </c>
      <c r="L140" s="136">
        <f>_xlfn.IFNA(VLOOKUP(A140,[1]IRESS!$A$10:$F$875,4,FALSE),"n/a")</f>
        <v>1</v>
      </c>
      <c r="M140" s="138">
        <f t="shared" si="1"/>
        <v>1.2385372722823477E-2</v>
      </c>
      <c r="N140" s="139" t="e">
        <f>VLOOKUP(A140,[1]Spreads!$A$1:$G$87,2,FALSE)</f>
        <v>#N/A</v>
      </c>
      <c r="O140" s="137" t="e">
        <f>VLOOKUP(A140,[1]Spreads!$A$1:$G$87,5,FALSE)/1000</f>
        <v>#N/A</v>
      </c>
      <c r="P140" s="140" t="e">
        <f>VLOOKUP(A140,[1]Spreads!$A$1:$G$87,6,FALSE)/1000</f>
        <v>#N/A</v>
      </c>
      <c r="R140" s="141">
        <f>_xlfn.IFNA(VLOOKUP($A140,[1]IRESS!$A$11:$AE$696,6,FALSE)/100,"n/a")</f>
        <v>0.35499999999999998</v>
      </c>
      <c r="S140" s="117"/>
      <c r="T140" s="142" t="str">
        <f>IF(VLOOKUP($A140,[1]FE!$A$2:$G$498,3,FALSE)="N/A","n/a",IFERROR(VLOOKUP($A140,[1]FE!$A$2:$G$498,3,FALSE),"n/a"))</f>
        <v>1.52%</v>
      </c>
      <c r="U140" s="138" t="str">
        <f>IF(VLOOKUP($A140,[1]FE!$A$2:$G$498,4,FALSE)="N/A","n/a",IFERROR(VLOOKUP($A140,[1]FE!$A$2:$G$498,4,FALSE),"n/a"))</f>
        <v>8.49%</v>
      </c>
      <c r="V140" s="142" t="str">
        <f>IF(VLOOKUP($A140,[1]FE!$A$2:$G$498,5,FALSE)="N/A","n/a",IFERROR(VLOOKUP($A140,[1]FE!$A$2:$G$498,5,FALSE),"n/a"))</f>
        <v>10.63%</v>
      </c>
      <c r="W140" s="138" t="str">
        <f>IF(VLOOKUP($A140,[1]FE!$A$2:$G$498,6,FALSE)="N/A","n/a",IFERROR(VLOOKUP($A140,[1]FE!$A$2:$G$498,6,FALSE),"n/a"))</f>
        <v>9.42%</v>
      </c>
      <c r="X140" s="142" t="str">
        <f>IF(VLOOKUP($A140,[1]FE!$A$2:$G$498,7,FALSE)="N/A","n/a",IFERROR(VLOOKUP($A140,[1]FE!$A$2:$G$498,7,FALSE),"n/a"))</f>
        <v>12.21%</v>
      </c>
    </row>
    <row r="141" spans="1:24" ht="18.75">
      <c r="A141" s="129" t="s">
        <v>421</v>
      </c>
      <c r="B141" s="130" t="s">
        <v>298</v>
      </c>
      <c r="C141" s="131" t="str">
        <f>VLOOKUP(A141,'[1]mFund List'!$A$2:$B$311,2,FALSE)</f>
        <v>UBS Property Securities Fund</v>
      </c>
      <c r="D141" s="132"/>
      <c r="E141" s="116"/>
      <c r="F141" s="133" t="str">
        <f>_xlfn.IFNA(VLOOKUP(A141,'[1]mFund List'!$A$2:$I$200,6,FALSE),"n/a")</f>
        <v>0.85%</v>
      </c>
      <c r="G141" s="134">
        <f>_xlfn.IFNA(VLOOKUP(A141,'[1]mFund List'!$A$2:$J$200,8,FALSE)/1000000,"n/a")</f>
        <v>1.1052437483184332</v>
      </c>
      <c r="H141" s="135">
        <f>_xlfn.IFNA(VLOOKUP(A141,'[1]mFund List'!$A$2:$N$200,14,FALSE)/1000000,"n/a")</f>
        <v>7.9300688855036272E-2</v>
      </c>
      <c r="I141" s="134">
        <f>_xlfn.IFNA(VLOOKUP(A141,'[1]mFund List'!$A$2:$R$200,18,FALSE)/1000000,"n/a")</f>
        <v>5.7544380238999895E-2</v>
      </c>
      <c r="J141" s="136">
        <f>_xlfn.IFNA(VLOOKUP(A141,[1]IRESS!$A$10:$F$875,5,FALSE),"n/a")</f>
        <v>57458</v>
      </c>
      <c r="K141" s="137">
        <f>_xlfn.IFNA(VLOOKUP(A141,[1]IRESS!$A$11:$G$684,7,FALSE),"n/a")</f>
        <v>50420.03</v>
      </c>
      <c r="L141" s="136">
        <f>_xlfn.IFNA(VLOOKUP(A141,[1]IRESS!$A$10:$F$875,4,FALSE),"n/a")</f>
        <v>3</v>
      </c>
      <c r="M141" s="138">
        <f t="shared" ref="M141:M206" si="2">+J141/(G141*1000000)</f>
        <v>5.1986722464993938E-2</v>
      </c>
      <c r="N141" s="139" t="e">
        <f>VLOOKUP(A141,[1]Spreads!$A$1:$G$87,2,FALSE)</f>
        <v>#N/A</v>
      </c>
      <c r="O141" s="137" t="e">
        <f>VLOOKUP(A141,[1]Spreads!$A$1:$G$87,5,FALSE)/1000</f>
        <v>#N/A</v>
      </c>
      <c r="P141" s="140" t="e">
        <f>VLOOKUP(A141,[1]Spreads!$A$1:$G$87,6,FALSE)/1000</f>
        <v>#N/A</v>
      </c>
      <c r="R141" s="141">
        <f>_xlfn.IFNA(VLOOKUP($A141,[1]IRESS!$A$11:$AE$696,6,FALSE)/100,"n/a")</f>
        <v>1.1413</v>
      </c>
      <c r="S141" s="117"/>
      <c r="T141" s="142" t="str">
        <f>IF(VLOOKUP($A141,[1]FE!$A$2:$G$498,3,FALSE)="N/A","n/a",IFERROR(VLOOKUP($A141,[1]FE!$A$2:$G$498,3,FALSE),"n/a"))</f>
        <v>2.17%</v>
      </c>
      <c r="U141" s="138" t="str">
        <f>IF(VLOOKUP($A141,[1]FE!$A$2:$G$498,4,FALSE)="N/A","n/a",IFERROR(VLOOKUP($A141,[1]FE!$A$2:$G$498,4,FALSE),"n/a"))</f>
        <v>9.40%</v>
      </c>
      <c r="V141" s="142" t="str">
        <f>IF(VLOOKUP($A141,[1]FE!$A$2:$G$498,5,FALSE)="N/A","n/a",IFERROR(VLOOKUP($A141,[1]FE!$A$2:$G$498,5,FALSE),"n/a"))</f>
        <v>11.50%</v>
      </c>
      <c r="W141" s="138" t="str">
        <f>IF(VLOOKUP($A141,[1]FE!$A$2:$G$498,6,FALSE)="N/A","n/a",IFERROR(VLOOKUP($A141,[1]FE!$A$2:$G$498,6,FALSE),"n/a"))</f>
        <v>9.90%</v>
      </c>
      <c r="X141" s="142" t="str">
        <f>IF(VLOOKUP($A141,[1]FE!$A$2:$G$498,7,FALSE)="N/A","n/a",IFERROR(VLOOKUP($A141,[1]FE!$A$2:$G$498,7,FALSE),"n/a"))</f>
        <v>11.90%</v>
      </c>
    </row>
    <row r="142" spans="1:24" s="108" customFormat="1" ht="18.75">
      <c r="A142" s="123" t="s">
        <v>165</v>
      </c>
      <c r="B142" s="124"/>
      <c r="C142" s="124"/>
      <c r="D142" s="124"/>
      <c r="E142" s="116"/>
      <c r="F142" s="143"/>
      <c r="G142" s="144"/>
      <c r="H142" s="144"/>
      <c r="I142" s="144"/>
      <c r="J142" s="145"/>
      <c r="K142" s="145"/>
      <c r="L142" s="145"/>
      <c r="M142" s="146"/>
      <c r="N142" s="146"/>
      <c r="O142" s="145"/>
      <c r="P142" s="145"/>
      <c r="Q142" s="7"/>
      <c r="R142" s="147"/>
      <c r="S142" s="117"/>
      <c r="T142" s="125"/>
      <c r="U142" s="125"/>
      <c r="V142" s="125"/>
      <c r="W142" s="125"/>
      <c r="X142" s="125"/>
    </row>
    <row r="143" spans="1:24" ht="18.75">
      <c r="A143" s="129" t="s">
        <v>422</v>
      </c>
      <c r="B143" s="130" t="s">
        <v>298</v>
      </c>
      <c r="C143" s="152" t="str">
        <f>VLOOKUP(A143,'[1]mFund List'!$A$2:$B$311,2,FALSE)</f>
        <v>AMP Capital Global Property Securities</v>
      </c>
      <c r="D143" s="153"/>
      <c r="E143" s="116"/>
      <c r="F143" s="133" t="str">
        <f>_xlfn.IFNA(VLOOKUP(A143,'[1]mFund List'!$A$2:$I$200,6,FALSE),"n/a")</f>
        <v>0.97%</v>
      </c>
      <c r="G143" s="134">
        <f>_xlfn.IFNA(VLOOKUP(A143,'[1]mFund List'!$A$2:$J$200,8,FALSE)/1000000,"n/a")</f>
        <v>3.3486529132477005</v>
      </c>
      <c r="H143" s="135">
        <f>_xlfn.IFNA(VLOOKUP(A143,'[1]mFund List'!$A$2:$N$200,14,FALSE)/1000000,"n/a")</f>
        <v>6.0104166674700102E-2</v>
      </c>
      <c r="I143" s="134">
        <f>_xlfn.IFNA(VLOOKUP(A143,'[1]mFund List'!$A$2:$R$200,18,FALSE)/1000000,"n/a")</f>
        <v>-8.4446581449968891E-4</v>
      </c>
      <c r="J143" s="136">
        <f>_xlfn.IFNA(VLOOKUP(A143,[1]IRESS!$A$10:$F$875,5,FALSE),"n/a")</f>
        <v>84564.340000000011</v>
      </c>
      <c r="K143" s="137">
        <f>_xlfn.IFNA(VLOOKUP(A143,[1]IRESS!$A$11:$G$684,7,FALSE),"n/a")</f>
        <v>76306.570000000007</v>
      </c>
      <c r="L143" s="136">
        <f>_xlfn.IFNA(VLOOKUP(A143,[1]IRESS!$A$10:$F$875,4,FALSE),"n/a")</f>
        <v>4</v>
      </c>
      <c r="M143" s="138">
        <f t="shared" si="2"/>
        <v>2.5253241285608501E-2</v>
      </c>
      <c r="N143" s="139" t="e">
        <f>VLOOKUP(A143,[1]Spreads!$A$1:$G$87,2,FALSE)</f>
        <v>#N/A</v>
      </c>
      <c r="O143" s="137" t="e">
        <f>VLOOKUP(A143,[1]Spreads!$A$1:$G$87,5,FALSE)/1000</f>
        <v>#N/A</v>
      </c>
      <c r="P143" s="140" t="e">
        <f>VLOOKUP(A143,[1]Spreads!$A$1:$G$87,6,FALSE)/1000</f>
        <v>#N/A</v>
      </c>
      <c r="R143" s="141">
        <f>_xlfn.IFNA(VLOOKUP($A143,[1]IRESS!$A$11:$AE$696,6,FALSE)/100,"n/a")</f>
        <v>1.11341</v>
      </c>
      <c r="S143" s="117"/>
      <c r="T143" s="142" t="str">
        <f>IF(VLOOKUP($A143,[1]FE!$A$2:$G$498,3,FALSE)="N/A","n/a",IFERROR(VLOOKUP($A143,[1]FE!$A$2:$G$498,3,FALSE),"n/a"))</f>
        <v>1.85%</v>
      </c>
      <c r="U143" s="138" t="str">
        <f>IF(VLOOKUP($A143,[1]FE!$A$2:$G$498,4,FALSE)="N/A","n/a",IFERROR(VLOOKUP($A143,[1]FE!$A$2:$G$498,4,FALSE),"n/a"))</f>
        <v>6.23%</v>
      </c>
      <c r="V143" s="142" t="str">
        <f>IF(VLOOKUP($A143,[1]FE!$A$2:$G$498,5,FALSE)="N/A","n/a",IFERROR(VLOOKUP($A143,[1]FE!$A$2:$G$498,5,FALSE),"n/a"))</f>
        <v>7.13%</v>
      </c>
      <c r="W143" s="138" t="str">
        <f>IF(VLOOKUP($A143,[1]FE!$A$2:$G$498,6,FALSE)="N/A","n/a",IFERROR(VLOOKUP($A143,[1]FE!$A$2:$G$498,6,FALSE),"n/a"))</f>
        <v>5.75%</v>
      </c>
      <c r="X143" s="142" t="str">
        <f>IF(VLOOKUP($A143,[1]FE!$A$2:$G$498,7,FALSE)="N/A","n/a",IFERROR(VLOOKUP($A143,[1]FE!$A$2:$G$498,7,FALSE),"n/a"))</f>
        <v>8.48%</v>
      </c>
    </row>
    <row r="144" spans="1:24" ht="18.75">
      <c r="A144" s="129" t="s">
        <v>423</v>
      </c>
      <c r="B144" s="130" t="s">
        <v>298</v>
      </c>
      <c r="C144" s="152" t="str">
        <f>VLOOKUP(A144,'[1]mFund List'!$A$2:$B$311,2,FALSE)</f>
        <v>APN Asian REIT Fund</v>
      </c>
      <c r="D144" s="153"/>
      <c r="E144" s="116"/>
      <c r="F144" s="133" t="str">
        <f>_xlfn.IFNA(VLOOKUP(A144,'[1]mFund List'!$A$2:$I$200,6,FALSE),"n/a")</f>
        <v>0.98%</v>
      </c>
      <c r="G144" s="134">
        <f>_xlfn.IFNA(VLOOKUP(A144,'[1]mFund List'!$A$2:$J$200,8,FALSE)/1000000,"n/a")</f>
        <v>5.0042298453980001</v>
      </c>
      <c r="H144" s="135">
        <f>_xlfn.IFNA(VLOOKUP(A144,'[1]mFund List'!$A$2:$N$200,14,FALSE)/1000000,"n/a")</f>
        <v>0.24958671295799967</v>
      </c>
      <c r="I144" s="134">
        <f>_xlfn.IFNA(VLOOKUP(A144,'[1]mFund List'!$A$2:$R$200,18,FALSE)/1000000,"n/a")</f>
        <v>0.25223964464999998</v>
      </c>
      <c r="J144" s="136">
        <f>_xlfn.IFNA(VLOOKUP(A144,[1]IRESS!$A$10:$F$875,5,FALSE),"n/a")</f>
        <v>109811.59</v>
      </c>
      <c r="K144" s="137">
        <f>_xlfn.IFNA(VLOOKUP(A144,[1]IRESS!$A$11:$G$684,7,FALSE),"n/a")</f>
        <v>68140.03</v>
      </c>
      <c r="L144" s="136">
        <f>_xlfn.IFNA(VLOOKUP(A144,[1]IRESS!$A$10:$F$875,4,FALSE),"n/a")</f>
        <v>45</v>
      </c>
      <c r="M144" s="138">
        <f t="shared" si="2"/>
        <v>2.1943754262403664E-2</v>
      </c>
      <c r="N144" s="139" t="e">
        <f>VLOOKUP(A144,[1]Spreads!$A$1:$G$87,2,FALSE)</f>
        <v>#N/A</v>
      </c>
      <c r="O144" s="137" t="e">
        <f>VLOOKUP(A144,[1]Spreads!$A$1:$G$87,5,FALSE)/1000</f>
        <v>#N/A</v>
      </c>
      <c r="P144" s="140" t="e">
        <f>VLOOKUP(A144,[1]Spreads!$A$1:$G$87,6,FALSE)/1000</f>
        <v>#N/A</v>
      </c>
      <c r="R144" s="141">
        <f>_xlfn.IFNA(VLOOKUP($A144,[1]IRESS!$A$11:$AE$696,6,FALSE)/100,"n/a")</f>
        <v>1.6121000000000001</v>
      </c>
      <c r="S144" s="117"/>
      <c r="T144" s="142" t="str">
        <f>IF(VLOOKUP($A144,[1]FE!$A$2:$G$498,3,FALSE)="N/A","n/a",IFERROR(VLOOKUP($A144,[1]FE!$A$2:$G$498,3,FALSE),"n/a"))</f>
        <v>0.46%</v>
      </c>
      <c r="U144" s="138" t="str">
        <f>IF(VLOOKUP($A144,[1]FE!$A$2:$G$498,4,FALSE)="N/A","n/a",IFERROR(VLOOKUP($A144,[1]FE!$A$2:$G$498,4,FALSE),"n/a"))</f>
        <v>1.77%</v>
      </c>
      <c r="V144" s="142" t="str">
        <f>IF(VLOOKUP($A144,[1]FE!$A$2:$G$498,5,FALSE)="N/A","n/a",IFERROR(VLOOKUP($A144,[1]FE!$A$2:$G$498,5,FALSE),"n/a"))</f>
        <v>12.13%</v>
      </c>
      <c r="W144" s="138" t="str">
        <f>IF(VLOOKUP($A144,[1]FE!$A$2:$G$498,6,FALSE)="N/A","n/a",IFERROR(VLOOKUP($A144,[1]FE!$A$2:$G$498,6,FALSE),"n/a"))</f>
        <v>6.53%</v>
      </c>
      <c r="X144" s="142" t="str">
        <f>IF(VLOOKUP($A144,[1]FE!$A$2:$G$498,7,FALSE)="N/A","n/a",IFERROR(VLOOKUP($A144,[1]FE!$A$2:$G$498,7,FALSE),"n/a"))</f>
        <v>10.27%</v>
      </c>
    </row>
    <row r="145" spans="1:24" ht="18.75">
      <c r="A145" s="129" t="s">
        <v>424</v>
      </c>
      <c r="B145" s="130" t="s">
        <v>298</v>
      </c>
      <c r="C145" s="152" t="str">
        <f>VLOOKUP(A145,'[1]mFund List'!$A$2:$B$311,2,FALSE)</f>
        <v xml:space="preserve">Invesco Wholesale Global Property Securities Fund – hedged - Class A </v>
      </c>
      <c r="D145" s="153"/>
      <c r="E145" s="116"/>
      <c r="F145" s="133" t="str">
        <f>_xlfn.IFNA(VLOOKUP(A145,'[1]mFund List'!$A$2:$I$200,6,FALSE),"n/a")</f>
        <v>0.95%</v>
      </c>
      <c r="G145" s="134">
        <f>_xlfn.IFNA(VLOOKUP(A145,'[1]mFund List'!$A$2:$J$200,8,FALSE)/1000000,"n/a")</f>
        <v>2.1463675276999997E-2</v>
      </c>
      <c r="H145" s="135">
        <f>_xlfn.IFNA(VLOOKUP(A145,'[1]mFund List'!$A$2:$N$200,14,FALSE)/1000000,"n/a")</f>
        <v>4.7491731859999707E-4</v>
      </c>
      <c r="I145" s="134">
        <f>_xlfn.IFNA(VLOOKUP(A145,'[1]mFund List'!$A$2:$R$200,18,FALSE)/1000000,"n/a")</f>
        <v>7.1858451499999944E-4</v>
      </c>
      <c r="J145" s="136">
        <f>_xlfn.IFNA(VLOOKUP(A145,[1]IRESS!$A$10:$F$875,5,FALSE),"n/a")</f>
        <v>712.63</v>
      </c>
      <c r="K145" s="137">
        <f>_xlfn.IFNA(VLOOKUP(A145,[1]IRESS!$A$11:$G$684,7,FALSE),"n/a")</f>
        <v>578.10500000000002</v>
      </c>
      <c r="L145" s="136">
        <f>_xlfn.IFNA(VLOOKUP(A145,[1]IRESS!$A$10:$F$875,4,FALSE),"n/a")</f>
        <v>1</v>
      </c>
      <c r="M145" s="138">
        <f t="shared" si="2"/>
        <v>3.3201676357992545E-2</v>
      </c>
      <c r="N145" s="139" t="e">
        <f>VLOOKUP(A145,[1]Spreads!$A$1:$G$87,2,FALSE)</f>
        <v>#N/A</v>
      </c>
      <c r="O145" s="137" t="e">
        <f>VLOOKUP(A145,[1]Spreads!$A$1:$G$87,5,FALSE)/1000</f>
        <v>#N/A</v>
      </c>
      <c r="P145" s="140" t="e">
        <f>VLOOKUP(A145,[1]Spreads!$A$1:$G$87,6,FALSE)/1000</f>
        <v>#N/A</v>
      </c>
      <c r="R145" s="141">
        <f>_xlfn.IFNA(VLOOKUP($A145,[1]IRESS!$A$11:$AE$696,6,FALSE)/100,"n/a")</f>
        <v>1.2429999999999999</v>
      </c>
      <c r="S145" s="117"/>
      <c r="T145" s="142" t="str">
        <f>IF(VLOOKUP($A145,[1]FE!$A$2:$G$498,3,FALSE)="N/A","n/a",IFERROR(VLOOKUP($A145,[1]FE!$A$2:$G$498,3,FALSE),"n/a"))</f>
        <v>2.42%</v>
      </c>
      <c r="U145" s="138" t="str">
        <f>IF(VLOOKUP($A145,[1]FE!$A$2:$G$498,4,FALSE)="N/A","n/a",IFERROR(VLOOKUP($A145,[1]FE!$A$2:$G$498,4,FALSE),"n/a"))</f>
        <v>7.08%</v>
      </c>
      <c r="V145" s="142" t="str">
        <f>IF(VLOOKUP($A145,[1]FE!$A$2:$G$498,5,FALSE)="N/A","n/a",IFERROR(VLOOKUP($A145,[1]FE!$A$2:$G$498,5,FALSE),"n/a"))</f>
        <v>7.23%</v>
      </c>
      <c r="W145" s="138" t="str">
        <f>IF(VLOOKUP($A145,[1]FE!$A$2:$G$498,6,FALSE)="N/A","n/a",IFERROR(VLOOKUP($A145,[1]FE!$A$2:$G$498,6,FALSE),"n/a"))</f>
        <v>5.85%</v>
      </c>
      <c r="X145" s="142" t="str">
        <f>IF(VLOOKUP($A145,[1]FE!$A$2:$G$498,7,FALSE)="N/A","n/a",IFERROR(VLOOKUP($A145,[1]FE!$A$2:$G$498,7,FALSE),"n/a"))</f>
        <v>8.03%</v>
      </c>
    </row>
    <row r="146" spans="1:24" ht="18.75">
      <c r="A146" s="129" t="s">
        <v>425</v>
      </c>
      <c r="B146" s="130" t="s">
        <v>298</v>
      </c>
      <c r="C146" s="152" t="str">
        <f>VLOOKUP(A146,'[1]mFund List'!$A$2:$B$311,2,FALSE)</f>
        <v>Morningstar Global Property Securities (H) Fund</v>
      </c>
      <c r="D146" s="154"/>
      <c r="E146" s="116"/>
      <c r="F146" s="133" t="str">
        <f>_xlfn.IFNA(VLOOKUP(A146,'[1]mFund List'!$A$2:$I$200,6,FALSE),"n/a")</f>
        <v>0.57%</v>
      </c>
      <c r="G146" s="134">
        <f>_xlfn.IFNA(VLOOKUP(A146,'[1]mFund List'!$A$2:$J$200,8,FALSE)/1000000,"n/a")</f>
        <v>0.11450012208719999</v>
      </c>
      <c r="H146" s="135">
        <f>_xlfn.IFNA(VLOOKUP(A146,'[1]mFund List'!$A$2:$N$200,14,FALSE)/1000000,"n/a")</f>
        <v>3.5348010881999944E-3</v>
      </c>
      <c r="I146" s="134">
        <f>_xlfn.IFNA(VLOOKUP(A146,'[1]mFund List'!$A$2:$R$200,18,FALSE)/1000000,"n/a")</f>
        <v>0</v>
      </c>
      <c r="J146" s="136" t="str">
        <f>_xlfn.IFNA(VLOOKUP(A146,[1]IRESS!$A$10:$F$875,5,FALSE),"n/a")</f>
        <v>0</v>
      </c>
      <c r="K146" s="137" t="str">
        <f>_xlfn.IFNA(VLOOKUP(A146,[1]IRESS!$A$11:$G$684,7,FALSE),"n/a")</f>
        <v>0</v>
      </c>
      <c r="L146" s="136" t="str">
        <f>_xlfn.IFNA(VLOOKUP(A146,[1]IRESS!$A$10:$F$875,4,FALSE),"n/a")</f>
        <v>0</v>
      </c>
      <c r="M146" s="138">
        <f t="shared" si="2"/>
        <v>0</v>
      </c>
      <c r="N146" s="139" t="e">
        <f>VLOOKUP(A146,[1]Spreads!$A$1:$G$87,2,FALSE)</f>
        <v>#N/A</v>
      </c>
      <c r="O146" s="137" t="e">
        <f>VLOOKUP(A146,[1]Spreads!$A$1:$G$87,5,FALSE)/1000</f>
        <v>#N/A</v>
      </c>
      <c r="P146" s="140" t="e">
        <f>VLOOKUP(A146,[1]Spreads!$A$1:$G$87,6,FALSE)/1000</f>
        <v>#N/A</v>
      </c>
      <c r="R146" s="141">
        <f>_xlfn.IFNA(VLOOKUP($A146,[1]IRESS!$A$11:$AE$696,6,FALSE)/100,"n/a")</f>
        <v>1.2354399999999999</v>
      </c>
      <c r="S146" s="117"/>
      <c r="T146" s="142" t="str">
        <f>IF(VLOOKUP($A146,[1]FE!$A$2:$G$498,3,FALSE)="N/A","n/a",IFERROR(VLOOKUP($A146,[1]FE!$A$2:$G$498,3,FALSE),"n/a"))</f>
        <v>3.17%</v>
      </c>
      <c r="U146" s="138" t="str">
        <f>IF(VLOOKUP($A146,[1]FE!$A$2:$G$498,4,FALSE)="N/A","n/a",IFERROR(VLOOKUP($A146,[1]FE!$A$2:$G$498,4,FALSE),"n/a"))</f>
        <v>8.17%</v>
      </c>
      <c r="V146" s="142" t="str">
        <f>IF(VLOOKUP($A146,[1]FE!$A$2:$G$498,5,FALSE)="N/A","n/a",IFERROR(VLOOKUP($A146,[1]FE!$A$2:$G$498,5,FALSE),"n/a"))</f>
        <v>7.46%</v>
      </c>
      <c r="W146" s="138" t="str">
        <f>IF(VLOOKUP($A146,[1]FE!$A$2:$G$498,6,FALSE)="N/A","n/a",IFERROR(VLOOKUP($A146,[1]FE!$A$2:$G$498,6,FALSE),"n/a"))</f>
        <v>7.54%</v>
      </c>
      <c r="X146" s="142" t="str">
        <f>IF(VLOOKUP($A146,[1]FE!$A$2:$G$498,7,FALSE)="N/A","n/a",IFERROR(VLOOKUP($A146,[1]FE!$A$2:$G$498,7,FALSE),"n/a"))</f>
        <v>9.23%</v>
      </c>
    </row>
    <row r="147" spans="1:24" ht="18.75">
      <c r="A147" s="129" t="s">
        <v>426</v>
      </c>
      <c r="B147" s="130" t="s">
        <v>298</v>
      </c>
      <c r="C147" s="152" t="str">
        <f>VLOOKUP(A147,'[1]mFund List'!$A$2:$B$311,2,FALSE)</f>
        <v>Alpha Property Securities Fund</v>
      </c>
      <c r="D147" s="154"/>
      <c r="E147" s="116"/>
      <c r="F147" s="133" t="str">
        <f>_xlfn.IFNA(VLOOKUP(A147,'[1]mFund List'!$A$2:$I$200,6,FALSE),"n/a")</f>
        <v>0.58%</v>
      </c>
      <c r="G147" s="134">
        <f>_xlfn.IFNA(VLOOKUP(A147,'[1]mFund List'!$A$2:$J$200,8,FALSE)/1000000,"n/a")</f>
        <v>2.6165594443570001E-2</v>
      </c>
      <c r="H147" s="135">
        <f>_xlfn.IFNA(VLOOKUP(A147,'[1]mFund List'!$A$2:$N$200,14,FALSE)/1000000,"n/a")</f>
        <v>8.2779004932000317E-4</v>
      </c>
      <c r="I147" s="134">
        <f>_xlfn.IFNA(VLOOKUP(A147,'[1]mFund List'!$A$2:$R$200,18,FALSE)/1000000,"n/a")</f>
        <v>0</v>
      </c>
      <c r="J147" s="136" t="str">
        <f>_xlfn.IFNA(VLOOKUP(A147,[1]IRESS!$A$10:$F$875,5,FALSE),"n/a")</f>
        <v>0</v>
      </c>
      <c r="K147" s="137" t="str">
        <f>_xlfn.IFNA(VLOOKUP(A147,[1]IRESS!$A$11:$G$684,7,FALSE),"n/a")</f>
        <v>0</v>
      </c>
      <c r="L147" s="136" t="str">
        <f>_xlfn.IFNA(VLOOKUP(A147,[1]IRESS!$A$10:$F$875,4,FALSE),"n/a")</f>
        <v>0</v>
      </c>
      <c r="M147" s="138">
        <f t="shared" si="2"/>
        <v>0</v>
      </c>
      <c r="N147" s="139" t="e">
        <f>VLOOKUP(A147,[1]Spreads!$A$1:$G$87,2,FALSE)</f>
        <v>#N/A</v>
      </c>
      <c r="O147" s="137" t="e">
        <f>VLOOKUP(A147,[1]Spreads!$A$1:$G$87,5,FALSE)/1000</f>
        <v>#N/A</v>
      </c>
      <c r="P147" s="140" t="e">
        <f>VLOOKUP(A147,[1]Spreads!$A$1:$G$87,6,FALSE)/1000</f>
        <v>#N/A</v>
      </c>
      <c r="R147" s="141">
        <f>_xlfn.IFNA(VLOOKUP($A147,[1]IRESS!$A$11:$AE$696,6,FALSE)/100,"n/a")</f>
        <v>0.49310000000000004</v>
      </c>
      <c r="S147" s="117"/>
      <c r="T147" s="142" t="str">
        <f>IF(VLOOKUP($A147,[1]FE!$A$2:$G$498,3,FALSE)="N/A","n/a",IFERROR(VLOOKUP($A147,[1]FE!$A$2:$G$498,3,FALSE),"n/a"))</f>
        <v>3.33%</v>
      </c>
      <c r="U147" s="138" t="str">
        <f>IF(VLOOKUP($A147,[1]FE!$A$2:$G$498,4,FALSE)="N/A","n/a",IFERROR(VLOOKUP($A147,[1]FE!$A$2:$G$498,4,FALSE),"n/a"))</f>
        <v>9.00%</v>
      </c>
      <c r="V147" s="142" t="str">
        <f>IF(VLOOKUP($A147,[1]FE!$A$2:$G$498,5,FALSE)="N/A","n/a",IFERROR(VLOOKUP($A147,[1]FE!$A$2:$G$498,5,FALSE),"n/a"))</f>
        <v>11.33%</v>
      </c>
      <c r="W147" s="138" t="str">
        <f>IF(VLOOKUP($A147,[1]FE!$A$2:$G$498,6,FALSE)="N/A","n/a",IFERROR(VLOOKUP($A147,[1]FE!$A$2:$G$498,6,FALSE),"n/a"))</f>
        <v>9.10%</v>
      </c>
      <c r="X147" s="142" t="str">
        <f>IF(VLOOKUP($A147,[1]FE!$A$2:$G$498,7,FALSE)="N/A","n/a",IFERROR(VLOOKUP($A147,[1]FE!$A$2:$G$498,7,FALSE),"n/a"))</f>
        <v>11.14%</v>
      </c>
    </row>
    <row r="148" spans="1:24" ht="18.75">
      <c r="A148" s="129" t="s">
        <v>427</v>
      </c>
      <c r="B148" s="130" t="s">
        <v>298</v>
      </c>
      <c r="C148" s="152" t="str">
        <f>VLOOKUP(A148,'[1]mFund List'!$A$2:$B$311,2,FALSE)</f>
        <v>Presima Global Property Securities Concentrated</v>
      </c>
      <c r="D148" s="154"/>
      <c r="E148" s="116"/>
      <c r="F148" s="133" t="str">
        <f>_xlfn.IFNA(VLOOKUP(A148,'[1]mFund List'!$A$2:$I$200,6,FALSE),"n/a")</f>
        <v>1.00%</v>
      </c>
      <c r="G148" s="134">
        <f>_xlfn.IFNA(VLOOKUP(A148,'[1]mFund List'!$A$2:$J$200,8,FALSE)/1000000,"n/a")</f>
        <v>0.84207771788169006</v>
      </c>
      <c r="H148" s="135">
        <f>_xlfn.IFNA(VLOOKUP(A148,'[1]mFund List'!$A$2:$N$200,14,FALSE)/1000000,"n/a")</f>
        <v>1.8513934700009994E-2</v>
      </c>
      <c r="I148" s="134">
        <f>_xlfn.IFNA(VLOOKUP(A148,'[1]mFund List'!$A$2:$R$200,18,FALSE)/1000000,"n/a")</f>
        <v>0</v>
      </c>
      <c r="J148" s="136" t="str">
        <f>_xlfn.IFNA(VLOOKUP(A148,[1]IRESS!$A$10:$F$875,5,FALSE),"n/a")</f>
        <v>0</v>
      </c>
      <c r="K148" s="137" t="str">
        <f>_xlfn.IFNA(VLOOKUP(A148,[1]IRESS!$A$11:$G$684,7,FALSE),"n/a")</f>
        <v>0</v>
      </c>
      <c r="L148" s="136" t="str">
        <f>_xlfn.IFNA(VLOOKUP(A148,[1]IRESS!$A$10:$F$875,4,FALSE),"n/a")</f>
        <v>0</v>
      </c>
      <c r="M148" s="138">
        <f t="shared" si="2"/>
        <v>0</v>
      </c>
      <c r="N148" s="139" t="e">
        <f>VLOOKUP(A148,[1]Spreads!$A$1:$G$87,2,FALSE)</f>
        <v>#N/A</v>
      </c>
      <c r="O148" s="137" t="e">
        <f>VLOOKUP(A148,[1]Spreads!$A$1:$G$87,5,FALSE)/1000</f>
        <v>#N/A</v>
      </c>
      <c r="P148" s="140" t="e">
        <f>VLOOKUP(A148,[1]Spreads!$A$1:$G$87,6,FALSE)/1000</f>
        <v>#N/A</v>
      </c>
      <c r="R148" s="141">
        <f>_xlfn.IFNA(VLOOKUP($A148,[1]IRESS!$A$11:$AE$696,6,FALSE)/100,"n/a")</f>
        <v>0.97730300000000003</v>
      </c>
      <c r="S148" s="117"/>
      <c r="T148" s="142" t="str">
        <f>IF(VLOOKUP($A148,[1]FE!$A$2:$G$498,3,FALSE)="N/A","n/a",IFERROR(VLOOKUP($A148,[1]FE!$A$2:$G$498,3,FALSE),"n/a"))</f>
        <v>2.25%</v>
      </c>
      <c r="U148" s="138" t="str">
        <f>IF(VLOOKUP($A148,[1]FE!$A$2:$G$498,4,FALSE)="N/A","n/a",IFERROR(VLOOKUP($A148,[1]FE!$A$2:$G$498,4,FALSE),"n/a"))</f>
        <v>6.03%</v>
      </c>
      <c r="V148" s="142" t="str">
        <f>IF(VLOOKUP($A148,[1]FE!$A$2:$G$498,5,FALSE)="N/A","n/a",IFERROR(VLOOKUP($A148,[1]FE!$A$2:$G$498,5,FALSE),"n/a"))</f>
        <v>5.55%</v>
      </c>
      <c r="W148" s="138" t="str">
        <f>IF(VLOOKUP($A148,[1]FE!$A$2:$G$498,6,FALSE)="N/A","n/a",IFERROR(VLOOKUP($A148,[1]FE!$A$2:$G$498,6,FALSE),"n/a"))</f>
        <v>5.05%</v>
      </c>
      <c r="X148" s="142" t="str">
        <f>IF(VLOOKUP($A148,[1]FE!$A$2:$G$498,7,FALSE)="N/A","n/a",IFERROR(VLOOKUP($A148,[1]FE!$A$2:$G$498,7,FALSE),"n/a"))</f>
        <v>8.41%</v>
      </c>
    </row>
    <row r="149" spans="1:24" s="45" customFormat="1" ht="18.75">
      <c r="A149" s="129" t="s">
        <v>428</v>
      </c>
      <c r="B149" s="130" t="s">
        <v>298</v>
      </c>
      <c r="C149" s="152" t="str">
        <f>VLOOKUP(A149,'[1]mFund List'!$A$2:$B$311,2,FALSE)</f>
        <v>Quay Global Real Estate Fund</v>
      </c>
      <c r="D149" s="154"/>
      <c r="E149" s="116"/>
      <c r="F149" s="133" t="str">
        <f>_xlfn.IFNA(VLOOKUP(A149,'[1]mFund List'!$A$2:$I$200,6,FALSE),"n/a")</f>
        <v>0.82%</v>
      </c>
      <c r="G149" s="134">
        <f>_xlfn.IFNA(VLOOKUP(A149,'[1]mFund List'!$A$2:$J$200,8,FALSE)/1000000,"n/a")</f>
        <v>0.11423681449792002</v>
      </c>
      <c r="H149" s="135">
        <f>_xlfn.IFNA(VLOOKUP(A149,'[1]mFund List'!$A$2:$N$200,14,FALSE)/1000000,"n/a")</f>
        <v>5.176135796800008E-3</v>
      </c>
      <c r="I149" s="134">
        <f>_xlfn.IFNA(VLOOKUP(A149,'[1]mFund List'!$A$2:$R$200,18,FALSE)/1000000,"n/a")</f>
        <v>0</v>
      </c>
      <c r="J149" s="136" t="str">
        <f>_xlfn.IFNA(VLOOKUP(A149,[1]IRESS!$A$10:$F$875,5,FALSE),"n/a")</f>
        <v>0</v>
      </c>
      <c r="K149" s="137" t="str">
        <f>_xlfn.IFNA(VLOOKUP(A149,[1]IRESS!$A$11:$G$684,7,FALSE),"n/a")</f>
        <v>0</v>
      </c>
      <c r="L149" s="136" t="str">
        <f>_xlfn.IFNA(VLOOKUP(A149,[1]IRESS!$A$10:$F$875,4,FALSE),"n/a")</f>
        <v>0</v>
      </c>
      <c r="M149" s="138">
        <f t="shared" si="2"/>
        <v>0</v>
      </c>
      <c r="N149" s="139" t="e">
        <f>VLOOKUP(A149,[1]Spreads!$A$1:$G$87,2,FALSE)</f>
        <v>#N/A</v>
      </c>
      <c r="O149" s="137" t="e">
        <f>VLOOKUP(A149,[1]Spreads!$A$1:$G$87,5,FALSE)/1000</f>
        <v>#N/A</v>
      </c>
      <c r="P149" s="140" t="e">
        <f>VLOOKUP(A149,[1]Spreads!$A$1:$G$87,6,FALSE)/1000</f>
        <v>#N/A</v>
      </c>
      <c r="Q149" s="7"/>
      <c r="R149" s="141">
        <f>_xlfn.IFNA(VLOOKUP($A149,[1]IRESS!$A$11:$AE$696,6,FALSE)/100,"n/a")</f>
        <v>1.1366000000000001</v>
      </c>
      <c r="S149" s="117"/>
      <c r="T149" s="142" t="str">
        <f>IF(VLOOKUP($A149,[1]FE!$A$2:$G$498,3,FALSE)="N/A","n/a",IFERROR(VLOOKUP($A149,[1]FE!$A$2:$G$498,3,FALSE),"n/a"))</f>
        <v>4.75%</v>
      </c>
      <c r="U149" s="138" t="str">
        <f>IF(VLOOKUP($A149,[1]FE!$A$2:$G$498,4,FALSE)="N/A","n/a",IFERROR(VLOOKUP($A149,[1]FE!$A$2:$G$498,4,FALSE),"n/a"))</f>
        <v>10.70%</v>
      </c>
      <c r="V149" s="142" t="str">
        <f>IF(VLOOKUP($A149,[1]FE!$A$2:$G$498,5,FALSE)="N/A","n/a",IFERROR(VLOOKUP($A149,[1]FE!$A$2:$G$498,5,FALSE),"n/a"))</f>
        <v>14.49%</v>
      </c>
      <c r="W149" s="138" t="str">
        <f>IF(VLOOKUP($A149,[1]FE!$A$2:$G$498,6,FALSE)="N/A","n/a",IFERROR(VLOOKUP($A149,[1]FE!$A$2:$G$498,6,FALSE),"n/a"))</f>
        <v>n/a</v>
      </c>
      <c r="X149" s="142" t="str">
        <f>IF(VLOOKUP($A149,[1]FE!$A$2:$G$498,7,FALSE)="N/A","n/a",IFERROR(VLOOKUP($A149,[1]FE!$A$2:$G$498,7,FALSE),"n/a"))</f>
        <v>n/a</v>
      </c>
    </row>
    <row r="150" spans="1:24" ht="18.75">
      <c r="A150" s="129" t="s">
        <v>429</v>
      </c>
      <c r="B150" s="130" t="s">
        <v>298</v>
      </c>
      <c r="C150" s="152" t="str">
        <f>VLOOKUP(A150,'[1]mFund List'!$A$2:$B$311,2,FALSE)</f>
        <v>SGH LaSalle Global Listed Property Securities</v>
      </c>
      <c r="D150" s="154"/>
      <c r="E150" s="116"/>
      <c r="F150" s="133" t="str">
        <f>_xlfn.IFNA(VLOOKUP(A150,'[1]mFund List'!$A$2:$I$200,6,FALSE),"n/a")</f>
        <v>1.10%</v>
      </c>
      <c r="G150" s="134">
        <f>_xlfn.IFNA(VLOOKUP(A150,'[1]mFund List'!$A$2:$J$200,8,FALSE)/1000000,"n/a")</f>
        <v>0.17823009677591997</v>
      </c>
      <c r="H150" s="135">
        <f>_xlfn.IFNA(VLOOKUP(A150,'[1]mFund List'!$A$2:$N$200,14,FALSE)/1000000,"n/a")</f>
        <v>-0.14791531579574999</v>
      </c>
      <c r="I150" s="134">
        <f>_xlfn.IFNA(VLOOKUP(A150,'[1]mFund List'!$A$2:$R$200,18,FALSE)/1000000,"n/a")</f>
        <v>-0.15636039139923993</v>
      </c>
      <c r="J150" s="136">
        <f>_xlfn.IFNA(VLOOKUP(A150,[1]IRESS!$A$10:$F$875,5,FALSE),"n/a")</f>
        <v>153312.34</v>
      </c>
      <c r="K150" s="137">
        <f>_xlfn.IFNA(VLOOKUP(A150,[1]IRESS!$A$11:$G$684,7,FALSE),"n/a")</f>
        <v>113733.19130000001</v>
      </c>
      <c r="L150" s="136">
        <f>_xlfn.IFNA(VLOOKUP(A150,[1]IRESS!$A$10:$F$875,4,FALSE),"n/a")</f>
        <v>1</v>
      </c>
      <c r="M150" s="138">
        <f t="shared" si="2"/>
        <v>0.86019332746450861</v>
      </c>
      <c r="N150" s="139" t="e">
        <f>VLOOKUP(A150,[1]Spreads!$A$1:$G$87,2,FALSE)</f>
        <v>#N/A</v>
      </c>
      <c r="O150" s="137" t="e">
        <f>VLOOKUP(A150,[1]Spreads!$A$1:$G$87,5,FALSE)/1000</f>
        <v>#N/A</v>
      </c>
      <c r="P150" s="140" t="e">
        <f>VLOOKUP(A150,[1]Spreads!$A$1:$G$87,6,FALSE)/1000</f>
        <v>#N/A</v>
      </c>
      <c r="R150" s="141">
        <f>_xlfn.IFNA(VLOOKUP($A150,[1]IRESS!$A$11:$AE$696,6,FALSE)/100,"n/a")</f>
        <v>1.3747999999999998</v>
      </c>
      <c r="S150" s="117"/>
      <c r="T150" s="142" t="str">
        <f>IF(VLOOKUP($A150,[1]FE!$A$2:$G$498,3,FALSE)="N/A","n/a",IFERROR(VLOOKUP($A150,[1]FE!$A$2:$G$498,3,FALSE),"n/a"))</f>
        <v>2.59%</v>
      </c>
      <c r="U150" s="138" t="str">
        <f>IF(VLOOKUP($A150,[1]FE!$A$2:$G$498,4,FALSE)="N/A","n/a",IFERROR(VLOOKUP($A150,[1]FE!$A$2:$G$498,4,FALSE),"n/a"))</f>
        <v>7.78%</v>
      </c>
      <c r="V150" s="142" t="str">
        <f>IF(VLOOKUP($A150,[1]FE!$A$2:$G$498,5,FALSE)="N/A","n/a",IFERROR(VLOOKUP($A150,[1]FE!$A$2:$G$498,5,FALSE),"n/a"))</f>
        <v>7.03%</v>
      </c>
      <c r="W150" s="138" t="str">
        <f>IF(VLOOKUP($A150,[1]FE!$A$2:$G$498,6,FALSE)="N/A","n/a",IFERROR(VLOOKUP($A150,[1]FE!$A$2:$G$498,6,FALSE),"n/a"))</f>
        <v>5.26%</v>
      </c>
      <c r="X150" s="142" t="str">
        <f>IF(VLOOKUP($A150,[1]FE!$A$2:$G$498,7,FALSE)="N/A","n/a",IFERROR(VLOOKUP($A150,[1]FE!$A$2:$G$498,7,FALSE),"n/a"))</f>
        <v>8.13%</v>
      </c>
    </row>
    <row r="151" spans="1:24" ht="18.75">
      <c r="A151" s="129" t="s">
        <v>430</v>
      </c>
      <c r="B151" s="130" t="s">
        <v>298</v>
      </c>
      <c r="C151" s="152" t="str">
        <f>VLOOKUP(A151,'[1]mFund List'!$A$2:$B$311,2,FALSE)</f>
        <v>SGH LaSalle Global Property Rich</v>
      </c>
      <c r="D151" s="154"/>
      <c r="E151" s="116"/>
      <c r="F151" s="133" t="str">
        <f>_xlfn.IFNA(VLOOKUP(A151,'[1]mFund List'!$A$2:$I$200,6,FALSE),"n/a")</f>
        <v>0.98%</v>
      </c>
      <c r="G151" s="134">
        <f>_xlfn.IFNA(VLOOKUP(A151,'[1]mFund List'!$A$2:$J$200,8,FALSE)/1000000,"n/a")</f>
        <v>1.7633693925450004E-2</v>
      </c>
      <c r="H151" s="135">
        <f>_xlfn.IFNA(VLOOKUP(A151,'[1]mFund List'!$A$2:$N$200,14,FALSE)/1000000,"n/a")</f>
        <v>7.0015455764999934E-4</v>
      </c>
      <c r="I151" s="134">
        <f>_xlfn.IFNA(VLOOKUP(A151,'[1]mFund List'!$A$2:$R$200,18,FALSE)/1000000,"n/a")</f>
        <v>2.0752850105054676E-18</v>
      </c>
      <c r="J151" s="136" t="str">
        <f>_xlfn.IFNA(VLOOKUP(A151,[1]IRESS!$A$10:$F$875,5,FALSE),"n/a")</f>
        <v>0</v>
      </c>
      <c r="K151" s="137" t="str">
        <f>_xlfn.IFNA(VLOOKUP(A151,[1]IRESS!$A$11:$G$684,7,FALSE),"n/a")</f>
        <v>0</v>
      </c>
      <c r="L151" s="136" t="str">
        <f>_xlfn.IFNA(VLOOKUP(A151,[1]IRESS!$A$10:$F$875,4,FALSE),"n/a")</f>
        <v>0</v>
      </c>
      <c r="M151" s="138">
        <f t="shared" si="2"/>
        <v>0</v>
      </c>
      <c r="N151" s="139" t="e">
        <f>VLOOKUP(A151,[1]Spreads!$A$1:$G$87,2,FALSE)</f>
        <v>#N/A</v>
      </c>
      <c r="O151" s="137" t="e">
        <f>VLOOKUP(A151,[1]Spreads!$A$1:$G$87,5,FALSE)/1000</f>
        <v>#N/A</v>
      </c>
      <c r="P151" s="140" t="e">
        <f>VLOOKUP(A151,[1]Spreads!$A$1:$G$87,6,FALSE)/1000</f>
        <v>#N/A</v>
      </c>
      <c r="R151" s="141">
        <f>_xlfn.IFNA(VLOOKUP($A151,[1]IRESS!$A$11:$AE$696,6,FALSE)/100,"n/a")</f>
        <v>1.1409</v>
      </c>
      <c r="S151" s="117"/>
      <c r="T151" s="142" t="str">
        <f>IF(VLOOKUP($A151,[1]FE!$A$2:$G$498,3,FALSE)="N/A","n/a",IFERROR(VLOOKUP($A151,[1]FE!$A$2:$G$498,3,FALSE),"n/a"))</f>
        <v>4.13%</v>
      </c>
      <c r="U151" s="138" t="str">
        <f>IF(VLOOKUP($A151,[1]FE!$A$2:$G$498,4,FALSE)="N/A","n/a",IFERROR(VLOOKUP($A151,[1]FE!$A$2:$G$498,4,FALSE),"n/a"))</f>
        <v>8.37%</v>
      </c>
      <c r="V151" s="142" t="str">
        <f>IF(VLOOKUP($A151,[1]FE!$A$2:$G$498,5,FALSE)="N/A","n/a",IFERROR(VLOOKUP($A151,[1]FE!$A$2:$G$498,5,FALSE),"n/a"))</f>
        <v>6.32%</v>
      </c>
      <c r="W151" s="138" t="str">
        <f>IF(VLOOKUP($A151,[1]FE!$A$2:$G$498,6,FALSE)="N/A","n/a",IFERROR(VLOOKUP($A151,[1]FE!$A$2:$G$498,6,FALSE),"n/a"))</f>
        <v>6.91%</v>
      </c>
      <c r="X151" s="142" t="str">
        <f>IF(VLOOKUP($A151,[1]FE!$A$2:$G$498,7,FALSE)="N/A","n/a",IFERROR(VLOOKUP($A151,[1]FE!$A$2:$G$498,7,FALSE),"n/a"))</f>
        <v>n/a</v>
      </c>
    </row>
    <row r="152" spans="1:24" ht="18.75">
      <c r="A152" s="129" t="s">
        <v>431</v>
      </c>
      <c r="B152" s="130" t="s">
        <v>298</v>
      </c>
      <c r="C152" s="152" t="str">
        <f>VLOOKUP(A152,'[1]mFund List'!$A$2:$B$311,2,FALSE)</f>
        <v>UBS Clarion Global Property Securities Fund</v>
      </c>
      <c r="D152" s="154"/>
      <c r="E152" s="116"/>
      <c r="F152" s="133" t="str">
        <f>_xlfn.IFNA(VLOOKUP(A152,'[1]mFund List'!$A$2:$I$200,6,FALSE),"n/a")</f>
        <v>0.90%</v>
      </c>
      <c r="G152" s="134">
        <f>_xlfn.IFNA(VLOOKUP(A152,'[1]mFund List'!$A$2:$J$200,8,FALSE)/1000000,"n/a")</f>
        <v>0.55230250507559997</v>
      </c>
      <c r="H152" s="135">
        <f>_xlfn.IFNA(VLOOKUP(A152,'[1]mFund List'!$A$2:$N$200,14,FALSE)/1000000,"n/a")</f>
        <v>5.0583452999200668E-3</v>
      </c>
      <c r="I152" s="134">
        <f>_xlfn.IFNA(VLOOKUP(A152,'[1]mFund List'!$A$2:$R$200,18,FALSE)/1000000,"n/a")</f>
        <v>-8.1944233539999588E-3</v>
      </c>
      <c r="J152" s="136">
        <f>_xlfn.IFNA(VLOOKUP(A152,[1]IRESS!$A$10:$F$875,5,FALSE),"n/a")</f>
        <v>97625.26999999999</v>
      </c>
      <c r="K152" s="137">
        <f>_xlfn.IFNA(VLOOKUP(A152,[1]IRESS!$A$11:$G$684,7,FALSE),"n/a")</f>
        <v>64322.323999999993</v>
      </c>
      <c r="L152" s="136">
        <f>_xlfn.IFNA(VLOOKUP(A152,[1]IRESS!$A$10:$F$875,4,FALSE),"n/a")</f>
        <v>2</v>
      </c>
      <c r="M152" s="138">
        <f t="shared" si="2"/>
        <v>0.1767605055252047</v>
      </c>
      <c r="N152" s="139" t="e">
        <f>VLOOKUP(A152,[1]Spreads!$A$1:$G$87,2,FALSE)</f>
        <v>#N/A</v>
      </c>
      <c r="O152" s="137" t="e">
        <f>VLOOKUP(A152,[1]Spreads!$A$1:$G$87,5,FALSE)/1000</f>
        <v>#N/A</v>
      </c>
      <c r="P152" s="140" t="e">
        <f>VLOOKUP(A152,[1]Spreads!$A$1:$G$87,6,FALSE)/1000</f>
        <v>#N/A</v>
      </c>
      <c r="R152" s="141">
        <f>_xlfn.IFNA(VLOOKUP($A152,[1]IRESS!$A$11:$AE$696,6,FALSE)/100,"n/a")</f>
        <v>1.5309999999999999</v>
      </c>
      <c r="S152" s="117"/>
      <c r="T152" s="142" t="str">
        <f>IF(VLOOKUP($A152,[1]FE!$A$2:$G$498,3,FALSE)="N/A","n/a",IFERROR(VLOOKUP($A152,[1]FE!$A$2:$G$498,3,FALSE),"n/a"))</f>
        <v>2.73%</v>
      </c>
      <c r="U152" s="138" t="str">
        <f>IF(VLOOKUP($A152,[1]FE!$A$2:$G$498,4,FALSE)="N/A","n/a",IFERROR(VLOOKUP($A152,[1]FE!$A$2:$G$498,4,FALSE),"n/a"))</f>
        <v>6.55%</v>
      </c>
      <c r="V152" s="142" t="str">
        <f>IF(VLOOKUP($A152,[1]FE!$A$2:$G$498,5,FALSE)="N/A","n/a",IFERROR(VLOOKUP($A152,[1]FE!$A$2:$G$498,5,FALSE),"n/a"))</f>
        <v>5.59%</v>
      </c>
      <c r="W152" s="138" t="str">
        <f>IF(VLOOKUP($A152,[1]FE!$A$2:$G$498,6,FALSE)="N/A","n/a",IFERROR(VLOOKUP($A152,[1]FE!$A$2:$G$498,6,FALSE),"n/a"))</f>
        <v>5.52%</v>
      </c>
      <c r="X152" s="142" t="str">
        <f>IF(VLOOKUP($A152,[1]FE!$A$2:$G$498,7,FALSE)="N/A","n/a",IFERROR(VLOOKUP($A152,[1]FE!$A$2:$G$498,7,FALSE),"n/a"))</f>
        <v>8.41%</v>
      </c>
    </row>
    <row r="153" spans="1:24" s="108" customFormat="1" ht="18.75">
      <c r="A153" s="123" t="s">
        <v>432</v>
      </c>
      <c r="B153" s="124"/>
      <c r="C153" s="124"/>
      <c r="D153" s="124"/>
      <c r="E153" s="116"/>
      <c r="F153" s="143"/>
      <c r="G153" s="144"/>
      <c r="H153" s="144"/>
      <c r="I153" s="144"/>
      <c r="J153" s="145"/>
      <c r="K153" s="145"/>
      <c r="L153" s="145"/>
      <c r="M153" s="146"/>
      <c r="N153" s="146"/>
      <c r="O153" s="145"/>
      <c r="P153" s="145"/>
      <c r="Q153" s="7"/>
      <c r="R153" s="147"/>
      <c r="S153" s="117"/>
      <c r="T153" s="125"/>
      <c r="U153" s="125"/>
      <c r="V153" s="125"/>
      <c r="W153" s="125"/>
      <c r="X153" s="125"/>
    </row>
    <row r="154" spans="1:24" ht="18.75">
      <c r="A154" s="129" t="s">
        <v>433</v>
      </c>
      <c r="B154" s="130" t="s">
        <v>298</v>
      </c>
      <c r="C154" s="148" t="str">
        <f>VLOOKUP(A154,'[1]mFund List'!$A$2:$B$311,2,FALSE)</f>
        <v>Australian Ethical Fixed Interest Fund Wholesale</v>
      </c>
      <c r="D154" s="149"/>
      <c r="E154" s="116"/>
      <c r="F154" s="133" t="str">
        <f>_xlfn.IFNA(VLOOKUP(A154,'[1]mFund List'!$A$2:$I$200,6,FALSE),"n/a")</f>
        <v>0.45%</v>
      </c>
      <c r="G154" s="134">
        <f>_xlfn.IFNA(VLOOKUP(A154,'[1]mFund List'!$A$2:$J$200,8,FALSE)/1000000,"n/a")</f>
        <v>0.26915449832001637</v>
      </c>
      <c r="H154" s="135">
        <f>_xlfn.IFNA(VLOOKUP(A154,'[1]mFund List'!$A$2:$N$200,14,FALSE)/1000000,"n/a")</f>
        <v>1.1328941373993876E-3</v>
      </c>
      <c r="I154" s="134">
        <f>_xlfn.IFNA(VLOOKUP(A154,'[1]mFund List'!$A$2:$R$200,18,FALSE)/1000000,"n/a")</f>
        <v>3.0520721338689327E-17</v>
      </c>
      <c r="J154" s="136" t="str">
        <f>_xlfn.IFNA(VLOOKUP(A154,[1]IRESS!$A$10:$F$875,5,FALSE),"n/a")</f>
        <v>0</v>
      </c>
      <c r="K154" s="137" t="str">
        <f>_xlfn.IFNA(VLOOKUP(A154,[1]IRESS!$A$11:$G$684,7,FALSE),"n/a")</f>
        <v>0</v>
      </c>
      <c r="L154" s="136" t="str">
        <f>_xlfn.IFNA(VLOOKUP(A154,[1]IRESS!$A$10:$F$875,4,FALSE),"n/a")</f>
        <v>0</v>
      </c>
      <c r="M154" s="138">
        <f t="shared" si="2"/>
        <v>0</v>
      </c>
      <c r="N154" s="139" t="e">
        <f>VLOOKUP(A154,[1]Spreads!$A$1:$G$87,2,FALSE)</f>
        <v>#N/A</v>
      </c>
      <c r="O154" s="137" t="e">
        <f>VLOOKUP(A154,[1]Spreads!$A$1:$G$87,5,FALSE)/1000</f>
        <v>#N/A</v>
      </c>
      <c r="P154" s="140" t="e">
        <f>VLOOKUP(A154,[1]Spreads!$A$1:$G$87,6,FALSE)/1000</f>
        <v>#N/A</v>
      </c>
      <c r="R154" s="141">
        <f>_xlfn.IFNA(VLOOKUP($A154,[1]IRESS!$A$11:$AE$696,6,FALSE)/100,"n/a")</f>
        <v>1.0486839999999999</v>
      </c>
      <c r="S154" s="117"/>
      <c r="T154" s="142" t="str">
        <f>IF(VLOOKUP($A154,[1]FE!$A$2:$G$498,3,FALSE)="N/A","n/a",IFERROR(VLOOKUP($A154,[1]FE!$A$2:$G$498,3,FALSE),"n/a"))</f>
        <v>0.42%</v>
      </c>
      <c r="U154" s="138" t="str">
        <f>IF(VLOOKUP($A154,[1]FE!$A$2:$G$498,4,FALSE)="N/A","n/a",IFERROR(VLOOKUP($A154,[1]FE!$A$2:$G$498,4,FALSE),"n/a"))</f>
        <v>0.68%</v>
      </c>
      <c r="V154" s="142" t="str">
        <f>IF(VLOOKUP($A154,[1]FE!$A$2:$G$498,5,FALSE)="N/A","n/a",IFERROR(VLOOKUP($A154,[1]FE!$A$2:$G$498,5,FALSE),"n/a"))</f>
        <v>2.63%</v>
      </c>
      <c r="W154" s="138" t="str">
        <f>IF(VLOOKUP($A154,[1]FE!$A$2:$G$498,6,FALSE)="N/A","n/a",IFERROR(VLOOKUP($A154,[1]FE!$A$2:$G$498,6,FALSE),"n/a"))</f>
        <v>2.80%</v>
      </c>
      <c r="X154" s="142" t="str">
        <f>IF(VLOOKUP($A154,[1]FE!$A$2:$G$498,7,FALSE)="N/A","n/a",IFERROR(VLOOKUP($A154,[1]FE!$A$2:$G$498,7,FALSE),"n/a"))</f>
        <v>n/a</v>
      </c>
    </row>
    <row r="155" spans="1:24" ht="18.75">
      <c r="A155" s="129" t="s">
        <v>434</v>
      </c>
      <c r="B155" s="130" t="s">
        <v>298</v>
      </c>
      <c r="C155" s="148" t="str">
        <f>VLOOKUP(A155,'[1]mFund List'!$A$2:$B$311,2,FALSE)</f>
        <v>Australian Ethical Cash Wholesale</v>
      </c>
      <c r="D155" s="149"/>
      <c r="E155" s="116"/>
      <c r="F155" s="133" t="str">
        <f>_xlfn.IFNA(VLOOKUP(A155,'[1]mFund List'!$A$2:$I$200,6,FALSE),"n/a")</f>
        <v>0.35%</v>
      </c>
      <c r="G155" s="134">
        <f>_xlfn.IFNA(VLOOKUP(A155,'[1]mFund List'!$A$2:$J$200,8,FALSE)/1000000,"n/a")</f>
        <v>0.17073347611152631</v>
      </c>
      <c r="H155" s="135">
        <f>_xlfn.IFNA(VLOOKUP(A155,'[1]mFund List'!$A$2:$N$200,14,FALSE)/1000000,"n/a")</f>
        <v>2.5183471019068381E-4</v>
      </c>
      <c r="I155" s="134">
        <f>_xlfn.IFNA(VLOOKUP(A155,'[1]mFund List'!$A$2:$R$200,18,FALSE)/1000000,"n/a")</f>
        <v>0</v>
      </c>
      <c r="J155" s="136" t="str">
        <f>_xlfn.IFNA(VLOOKUP(A155,[1]IRESS!$A$10:$F$875,5,FALSE),"n/a")</f>
        <v>0</v>
      </c>
      <c r="K155" s="137" t="str">
        <f>_xlfn.IFNA(VLOOKUP(A155,[1]IRESS!$A$11:$G$684,7,FALSE),"n/a")</f>
        <v>0</v>
      </c>
      <c r="L155" s="136" t="str">
        <f>_xlfn.IFNA(VLOOKUP(A155,[1]IRESS!$A$10:$F$875,4,FALSE),"n/a")</f>
        <v>0</v>
      </c>
      <c r="M155" s="138">
        <f t="shared" si="2"/>
        <v>0</v>
      </c>
      <c r="N155" s="139" t="e">
        <f>VLOOKUP(A155,[1]Spreads!$A$1:$G$87,2,FALSE)</f>
        <v>#N/A</v>
      </c>
      <c r="O155" s="137" t="e">
        <f>VLOOKUP(A155,[1]Spreads!$A$1:$G$87,5,FALSE)/1000</f>
        <v>#N/A</v>
      </c>
      <c r="P155" s="140" t="e">
        <f>VLOOKUP(A155,[1]Spreads!$A$1:$G$87,6,FALSE)/1000</f>
        <v>#N/A</v>
      </c>
      <c r="R155" s="141">
        <f>_xlfn.IFNA(VLOOKUP($A155,[1]IRESS!$A$11:$AE$696,6,FALSE)/100,"n/a")</f>
        <v>0.99592100000000006</v>
      </c>
      <c r="S155" s="117"/>
      <c r="T155" s="142" t="str">
        <f>IF(VLOOKUP($A155,[1]FE!$A$2:$G$498,3,FALSE)="N/A","n/a",IFERROR(VLOOKUP($A155,[1]FE!$A$2:$G$498,3,FALSE),"n/a"))</f>
        <v>0.14%</v>
      </c>
      <c r="U155" s="138" t="str">
        <f>IF(VLOOKUP($A155,[1]FE!$A$2:$G$498,4,FALSE)="N/A","n/a",IFERROR(VLOOKUP($A155,[1]FE!$A$2:$G$498,4,FALSE),"n/a"))</f>
        <v>0.50%</v>
      </c>
      <c r="V155" s="142" t="str">
        <f>IF(VLOOKUP($A155,[1]FE!$A$2:$G$498,5,FALSE)="N/A","n/a",IFERROR(VLOOKUP($A155,[1]FE!$A$2:$G$498,5,FALSE),"n/a"))</f>
        <v>1.97%</v>
      </c>
      <c r="W155" s="138" t="str">
        <f>IF(VLOOKUP($A155,[1]FE!$A$2:$G$498,6,FALSE)="N/A","n/a",IFERROR(VLOOKUP($A155,[1]FE!$A$2:$G$498,6,FALSE),"n/a"))</f>
        <v>n/a</v>
      </c>
      <c r="X155" s="142" t="str">
        <f>IF(VLOOKUP($A155,[1]FE!$A$2:$G$498,7,FALSE)="N/A","n/a",IFERROR(VLOOKUP($A155,[1]FE!$A$2:$G$498,7,FALSE),"n/a"))</f>
        <v>n/a</v>
      </c>
    </row>
    <row r="156" spans="1:24" ht="18.75">
      <c r="A156" s="129" t="s">
        <v>435</v>
      </c>
      <c r="B156" s="130" t="s">
        <v>298</v>
      </c>
      <c r="C156" s="148" t="str">
        <f>VLOOKUP(A156,'[1]mFund List'!$A$2:$B$311,2,FALSE)</f>
        <v>AMP Capital Corporate Bond</v>
      </c>
      <c r="D156" s="149"/>
      <c r="E156" s="116"/>
      <c r="F156" s="133" t="str">
        <f>_xlfn.IFNA(VLOOKUP(A156,'[1]mFund List'!$A$2:$I$200,6,FALSE),"n/a")</f>
        <v>0.60%</v>
      </c>
      <c r="G156" s="134">
        <f>_xlfn.IFNA(VLOOKUP(A156,'[1]mFund List'!$A$2:$J$200,8,FALSE)/1000000,"n/a")</f>
        <v>11.1926752011203</v>
      </c>
      <c r="H156" s="135">
        <f>_xlfn.IFNA(VLOOKUP(A156,'[1]mFund List'!$A$2:$N$200,14,FALSE)/1000000,"n/a")</f>
        <v>6.7344725107498463E-2</v>
      </c>
      <c r="I156" s="134">
        <f>_xlfn.IFNA(VLOOKUP(A156,'[1]mFund List'!$A$2:$R$200,18,FALSE)/1000000,"n/a")</f>
        <v>8.0765875229098782E-2</v>
      </c>
      <c r="J156" s="136">
        <f>_xlfn.IFNA(VLOOKUP(A156,[1]IRESS!$A$10:$F$875,5,FALSE),"n/a")</f>
        <v>750124.95</v>
      </c>
      <c r="K156" s="137">
        <f>_xlfn.IFNA(VLOOKUP(A156,[1]IRESS!$A$11:$G$684,7,FALSE),"n/a")</f>
        <v>773028.91000000015</v>
      </c>
      <c r="L156" s="136">
        <f>_xlfn.IFNA(VLOOKUP(A156,[1]IRESS!$A$10:$F$875,4,FALSE),"n/a")</f>
        <v>29</v>
      </c>
      <c r="M156" s="138">
        <f t="shared" si="2"/>
        <v>6.7019272561837429E-2</v>
      </c>
      <c r="N156" s="139" t="e">
        <f>VLOOKUP(A156,[1]Spreads!$A$1:$G$87,2,FALSE)</f>
        <v>#N/A</v>
      </c>
      <c r="O156" s="137" t="e">
        <f>VLOOKUP(A156,[1]Spreads!$A$1:$G$87,5,FALSE)/1000</f>
        <v>#N/A</v>
      </c>
      <c r="P156" s="140" t="e">
        <f>VLOOKUP(A156,[1]Spreads!$A$1:$G$87,6,FALSE)/1000</f>
        <v>#N/A</v>
      </c>
      <c r="R156" s="141">
        <f>_xlfn.IFNA(VLOOKUP($A156,[1]IRESS!$A$11:$AE$696,6,FALSE)/100,"n/a")</f>
        <v>0.96869000000000005</v>
      </c>
      <c r="S156" s="117"/>
      <c r="T156" s="142" t="str">
        <f>IF(VLOOKUP($A156,[1]FE!$A$2:$G$498,3,FALSE)="N/A","n/a",IFERROR(VLOOKUP($A156,[1]FE!$A$2:$G$498,3,FALSE),"n/a"))</f>
        <v>0.13%</v>
      </c>
      <c r="U156" s="138" t="str">
        <f>IF(VLOOKUP($A156,[1]FE!$A$2:$G$498,4,FALSE)="N/A","n/a",IFERROR(VLOOKUP($A156,[1]FE!$A$2:$G$498,4,FALSE),"n/a"))</f>
        <v>0.44%</v>
      </c>
      <c r="V156" s="142" t="str">
        <f>IF(VLOOKUP($A156,[1]FE!$A$2:$G$498,5,FALSE)="N/A","n/a",IFERROR(VLOOKUP($A156,[1]FE!$A$2:$G$498,5,FALSE),"n/a"))</f>
        <v>2.50%</v>
      </c>
      <c r="W156" s="138" t="str">
        <f>IF(VLOOKUP($A156,[1]FE!$A$2:$G$498,6,FALSE)="N/A","n/a",IFERROR(VLOOKUP($A156,[1]FE!$A$2:$G$498,6,FALSE),"n/a"))</f>
        <v>2.82%</v>
      </c>
      <c r="X156" s="142" t="str">
        <f>IF(VLOOKUP($A156,[1]FE!$A$2:$G$498,7,FALSE)="N/A","n/a",IFERROR(VLOOKUP($A156,[1]FE!$A$2:$G$498,7,FALSE),"n/a"))</f>
        <v>3.77%</v>
      </c>
    </row>
    <row r="157" spans="1:24" ht="18.75">
      <c r="A157" s="129" t="s">
        <v>436</v>
      </c>
      <c r="B157" s="130" t="s">
        <v>298</v>
      </c>
      <c r="C157" s="148" t="str">
        <f>VLOOKUP(A157,'[1]mFund List'!$A$2:$B$311,2,FALSE)</f>
        <v>Aberdeen Australian Fixed Income Fund</v>
      </c>
      <c r="D157" s="149"/>
      <c r="E157" s="116"/>
      <c r="F157" s="133" t="str">
        <f>_xlfn.IFNA(VLOOKUP(A157,'[1]mFund List'!$A$2:$I$200,6,FALSE),"n/a")</f>
        <v>0.51%</v>
      </c>
      <c r="G157" s="134">
        <f>_xlfn.IFNA(VLOOKUP(A157,'[1]mFund List'!$A$2:$J$200,8,FALSE)/1000000,"n/a")</f>
        <v>1.7234150144679998</v>
      </c>
      <c r="H157" s="135">
        <f>_xlfn.IFNA(VLOOKUP(A157,'[1]mFund List'!$A$2:$N$200,14,FALSE)/1000000,"n/a")</f>
        <v>-0.1273694641519999</v>
      </c>
      <c r="I157" s="134">
        <f>_xlfn.IFNA(VLOOKUP(A157,'[1]mFund List'!$A$2:$R$200,18,FALSE)/1000000,"n/a")</f>
        <v>-0.13358924826799998</v>
      </c>
      <c r="J157" s="136">
        <f>_xlfn.IFNA(VLOOKUP(A157,[1]IRESS!$A$10:$F$875,5,FALSE),"n/a")</f>
        <v>133122.53</v>
      </c>
      <c r="K157" s="137">
        <f>_xlfn.IFNA(VLOOKUP(A157,[1]IRESS!$A$11:$G$684,7,FALSE),"n/a")</f>
        <v>114727.97</v>
      </c>
      <c r="L157" s="136">
        <f>_xlfn.IFNA(VLOOKUP(A157,[1]IRESS!$A$10:$F$875,4,FALSE),"n/a")</f>
        <v>2</v>
      </c>
      <c r="M157" s="138">
        <f t="shared" si="2"/>
        <v>7.7243454932469369E-2</v>
      </c>
      <c r="N157" s="139" t="e">
        <f>VLOOKUP(A157,[1]Spreads!$A$1:$G$87,2,FALSE)</f>
        <v>#N/A</v>
      </c>
      <c r="O157" s="137" t="e">
        <f>VLOOKUP(A157,[1]Spreads!$A$1:$G$87,5,FALSE)/1000</f>
        <v>#N/A</v>
      </c>
      <c r="P157" s="140" t="e">
        <f>VLOOKUP(A157,[1]Spreads!$A$1:$G$87,6,FALSE)/1000</f>
        <v>#N/A</v>
      </c>
      <c r="R157" s="141">
        <f>_xlfn.IFNA(VLOOKUP($A157,[1]IRESS!$A$11:$AE$696,6,FALSE)/100,"n/a")</f>
        <v>1.1643999999999999</v>
      </c>
      <c r="S157" s="117"/>
      <c r="T157" s="142" t="str">
        <f>IF(VLOOKUP($A157,[1]FE!$A$2:$G$498,3,FALSE)="N/A","n/a",IFERROR(VLOOKUP($A157,[1]FE!$A$2:$G$498,3,FALSE),"n/a"))</f>
        <v>0.34%</v>
      </c>
      <c r="U157" s="138" t="str">
        <f>IF(VLOOKUP($A157,[1]FE!$A$2:$G$498,4,FALSE)="N/A","n/a",IFERROR(VLOOKUP($A157,[1]FE!$A$2:$G$498,4,FALSE),"n/a"))</f>
        <v>0.60%</v>
      </c>
      <c r="V157" s="142" t="str">
        <f>IF(VLOOKUP($A157,[1]FE!$A$2:$G$498,5,FALSE)="N/A","n/a",IFERROR(VLOOKUP($A157,[1]FE!$A$2:$G$498,5,FALSE),"n/a"))</f>
        <v>3.25%</v>
      </c>
      <c r="W157" s="138" t="str">
        <f>IF(VLOOKUP($A157,[1]FE!$A$2:$G$498,6,FALSE)="N/A","n/a",IFERROR(VLOOKUP($A157,[1]FE!$A$2:$G$498,6,FALSE),"n/a"))</f>
        <v>3.47%</v>
      </c>
      <c r="X157" s="142" t="str">
        <f>IF(VLOOKUP($A157,[1]FE!$A$2:$G$498,7,FALSE)="N/A","n/a",IFERROR(VLOOKUP($A157,[1]FE!$A$2:$G$498,7,FALSE),"n/a"))</f>
        <v>4.34%</v>
      </c>
    </row>
    <row r="158" spans="1:24" ht="18.75">
      <c r="A158" s="129" t="s">
        <v>437</v>
      </c>
      <c r="B158" s="130" t="s">
        <v>298</v>
      </c>
      <c r="C158" s="148" t="str">
        <f>VLOOKUP(A158,'[1]mFund List'!$A$2:$B$311,2,FALSE)</f>
        <v>Aberdeen Active Index Income Fund</v>
      </c>
      <c r="D158" s="149"/>
      <c r="E158" s="116"/>
      <c r="F158" s="133" t="str">
        <f>_xlfn.IFNA(VLOOKUP(A158,'[1]mFund List'!$A$2:$I$200,6,FALSE),"n/a")</f>
        <v>0.20%</v>
      </c>
      <c r="G158" s="134">
        <f>_xlfn.IFNA(VLOOKUP(A158,'[1]mFund List'!$A$2:$J$200,8,FALSE)/1000000,"n/a")</f>
        <v>0.25391785762999997</v>
      </c>
      <c r="H158" s="135">
        <f>_xlfn.IFNA(VLOOKUP(A158,'[1]mFund List'!$A$2:$N$200,14,FALSE)/1000000,"n/a")</f>
        <v>6.4947017199997207E-4</v>
      </c>
      <c r="I158" s="134">
        <f>_xlfn.IFNA(VLOOKUP(A158,'[1]mFund List'!$A$2:$R$200,18,FALSE)/1000000,"n/a")</f>
        <v>0</v>
      </c>
      <c r="J158" s="136" t="str">
        <f>_xlfn.IFNA(VLOOKUP(A158,[1]IRESS!$A$10:$F$875,5,FALSE),"n/a")</f>
        <v>0</v>
      </c>
      <c r="K158" s="137" t="str">
        <f>_xlfn.IFNA(VLOOKUP(A158,[1]IRESS!$A$11:$G$684,7,FALSE),"n/a")</f>
        <v>0</v>
      </c>
      <c r="L158" s="136" t="str">
        <f>_xlfn.IFNA(VLOOKUP(A158,[1]IRESS!$A$10:$F$875,4,FALSE),"n/a")</f>
        <v>0</v>
      </c>
      <c r="M158" s="138">
        <f t="shared" si="2"/>
        <v>0</v>
      </c>
      <c r="N158" s="139" t="e">
        <f>VLOOKUP(A158,[1]Spreads!$A$1:$G$87,2,FALSE)</f>
        <v>#N/A</v>
      </c>
      <c r="O158" s="137" t="e">
        <f>VLOOKUP(A158,[1]Spreads!$A$1:$G$87,5,FALSE)/1000</f>
        <v>#N/A</v>
      </c>
      <c r="P158" s="140" t="e">
        <f>VLOOKUP(A158,[1]Spreads!$A$1:$G$87,6,FALSE)/1000</f>
        <v>#N/A</v>
      </c>
      <c r="R158" s="141">
        <f>_xlfn.IFNA(VLOOKUP($A158,[1]IRESS!$A$11:$AE$696,6,FALSE)/100,"n/a")</f>
        <v>1.0165</v>
      </c>
      <c r="S158" s="117"/>
      <c r="T158" s="142" t="str">
        <f>IF(VLOOKUP($A158,[1]FE!$A$2:$G$498,3,FALSE)="N/A","n/a",IFERROR(VLOOKUP($A158,[1]FE!$A$2:$G$498,3,FALSE),"n/a"))</f>
        <v>0.26%</v>
      </c>
      <c r="U158" s="138" t="str">
        <f>IF(VLOOKUP($A158,[1]FE!$A$2:$G$498,4,FALSE)="N/A","n/a",IFERROR(VLOOKUP($A158,[1]FE!$A$2:$G$498,4,FALSE),"n/a"))</f>
        <v>0.56%</v>
      </c>
      <c r="V158" s="142" t="str">
        <f>IF(VLOOKUP($A158,[1]FE!$A$2:$G$498,5,FALSE)="N/A","n/a",IFERROR(VLOOKUP($A158,[1]FE!$A$2:$G$498,5,FALSE),"n/a"))</f>
        <v>2.91%</v>
      </c>
      <c r="W158" s="138" t="str">
        <f>IF(VLOOKUP($A158,[1]FE!$A$2:$G$498,6,FALSE)="N/A","n/a",IFERROR(VLOOKUP($A158,[1]FE!$A$2:$G$498,6,FALSE),"n/a"))</f>
        <v>3.24%</v>
      </c>
      <c r="X158" s="142" t="str">
        <f>IF(VLOOKUP($A158,[1]FE!$A$2:$G$498,7,FALSE)="N/A","n/a",IFERROR(VLOOKUP($A158,[1]FE!$A$2:$G$498,7,FALSE),"n/a"))</f>
        <v>4.22%</v>
      </c>
    </row>
    <row r="159" spans="1:24" ht="18.75">
      <c r="A159" s="129" t="s">
        <v>438</v>
      </c>
      <c r="B159" s="130" t="s">
        <v>298</v>
      </c>
      <c r="C159" s="148" t="str">
        <f>VLOOKUP(A159,'[1]mFund List'!$A$2:$B$311,2,FALSE)</f>
        <v>Antares Income</v>
      </c>
      <c r="D159" s="149"/>
      <c r="E159" s="116"/>
      <c r="F159" s="133" t="str">
        <f>_xlfn.IFNA(VLOOKUP(A159,'[1]mFund List'!$A$2:$I$200,6,FALSE),"n/a")</f>
        <v>0.55%</v>
      </c>
      <c r="G159" s="134">
        <f>_xlfn.IFNA(VLOOKUP(A159,'[1]mFund List'!$A$2:$J$200,8,FALSE)/1000000,"n/a")</f>
        <v>0.59355803585540001</v>
      </c>
      <c r="H159" s="135">
        <f>_xlfn.IFNA(VLOOKUP(A159,'[1]mFund List'!$A$2:$N$200,14,FALSE)/1000000,"n/a")</f>
        <v>9.4106172875000628E-4</v>
      </c>
      <c r="I159" s="134">
        <f>_xlfn.IFNA(VLOOKUP(A159,'[1]mFund List'!$A$2:$R$200,18,FALSE)/1000000,"n/a")</f>
        <v>0</v>
      </c>
      <c r="J159" s="136" t="str">
        <f>_xlfn.IFNA(VLOOKUP(A159,[1]IRESS!$A$10:$F$875,5,FALSE),"n/a")</f>
        <v>0</v>
      </c>
      <c r="K159" s="137" t="str">
        <f>_xlfn.IFNA(VLOOKUP(A159,[1]IRESS!$A$11:$G$684,7,FALSE),"n/a")</f>
        <v>0</v>
      </c>
      <c r="L159" s="136" t="str">
        <f>_xlfn.IFNA(VLOOKUP(A159,[1]IRESS!$A$10:$F$875,4,FALSE),"n/a")</f>
        <v>0</v>
      </c>
      <c r="M159" s="138">
        <f t="shared" si="2"/>
        <v>0</v>
      </c>
      <c r="N159" s="139" t="e">
        <f>VLOOKUP(A159,[1]Spreads!$A$1:$G$87,2,FALSE)</f>
        <v>#N/A</v>
      </c>
      <c r="O159" s="137" t="e">
        <f>VLOOKUP(A159,[1]Spreads!$A$1:$G$87,5,FALSE)/1000</f>
        <v>#N/A</v>
      </c>
      <c r="P159" s="140" t="e">
        <f>VLOOKUP(A159,[1]Spreads!$A$1:$G$87,6,FALSE)/1000</f>
        <v>#N/A</v>
      </c>
      <c r="R159" s="141">
        <f>_xlfn.IFNA(VLOOKUP($A159,[1]IRESS!$A$11:$AE$696,6,FALSE)/100,"n/a")</f>
        <v>1.02494</v>
      </c>
      <c r="S159" s="117"/>
      <c r="T159" s="142" t="str">
        <f>IF(VLOOKUP($A159,[1]FE!$A$2:$G$498,3,FALSE)="N/A","n/a",IFERROR(VLOOKUP($A159,[1]FE!$A$2:$G$498,3,FALSE),"n/a"))</f>
        <v>0.16%</v>
      </c>
      <c r="U159" s="138" t="str">
        <f>IF(VLOOKUP($A159,[1]FE!$A$2:$G$498,4,FALSE)="N/A","n/a",IFERROR(VLOOKUP($A159,[1]FE!$A$2:$G$498,4,FALSE),"n/a"))</f>
        <v>0.53%</v>
      </c>
      <c r="V159" s="142" t="str">
        <f>IF(VLOOKUP($A159,[1]FE!$A$2:$G$498,5,FALSE)="N/A","n/a",IFERROR(VLOOKUP($A159,[1]FE!$A$2:$G$498,5,FALSE),"n/a"))</f>
        <v>2.39%</v>
      </c>
      <c r="W159" s="138" t="str">
        <f>IF(VLOOKUP($A159,[1]FE!$A$2:$G$498,6,FALSE)="N/A","n/a",IFERROR(VLOOKUP($A159,[1]FE!$A$2:$G$498,6,FALSE),"n/a"))</f>
        <v>2.63%</v>
      </c>
      <c r="X159" s="142" t="str">
        <f>IF(VLOOKUP($A159,[1]FE!$A$2:$G$498,7,FALSE)="N/A","n/a",IFERROR(VLOOKUP($A159,[1]FE!$A$2:$G$498,7,FALSE),"n/a"))</f>
        <v>n/a</v>
      </c>
    </row>
    <row r="160" spans="1:24" ht="18.75">
      <c r="A160" s="129" t="s">
        <v>439</v>
      </c>
      <c r="B160" s="130" t="s">
        <v>298</v>
      </c>
      <c r="C160" s="148" t="str">
        <f>VLOOKUP(A160,'[1]mFund List'!$A$2:$B$311,2,FALSE)</f>
        <v>Alpha Enhanced Yield Fund</v>
      </c>
      <c r="D160" s="149"/>
      <c r="E160" s="116"/>
      <c r="F160" s="133" t="str">
        <f>_xlfn.IFNA(VLOOKUP(A160,'[1]mFund List'!$A$2:$I$200,6,FALSE),"n/a")</f>
        <v>0.34%</v>
      </c>
      <c r="G160" s="134">
        <f>_xlfn.IFNA(VLOOKUP(A160,'[1]mFund List'!$A$2:$J$200,8,FALSE)/1000000,"n/a")</f>
        <v>9.895246674774999E-2</v>
      </c>
      <c r="H160" s="135">
        <f>_xlfn.IFNA(VLOOKUP(A160,'[1]mFund List'!$A$2:$N$200,14,FALSE)/1000000,"n/a")</f>
        <v>-3.6044154080000588E-4</v>
      </c>
      <c r="I160" s="134">
        <f>_xlfn.IFNA(VLOOKUP(A160,'[1]mFund List'!$A$2:$R$200,18,FALSE)/1000000,"n/a")</f>
        <v>0</v>
      </c>
      <c r="J160" s="136" t="str">
        <f>_xlfn.IFNA(VLOOKUP(A160,[1]IRESS!$A$10:$F$875,5,FALSE),"n/a")</f>
        <v>0</v>
      </c>
      <c r="K160" s="137" t="str">
        <f>_xlfn.IFNA(VLOOKUP(A160,[1]IRESS!$A$11:$G$684,7,FALSE),"n/a")</f>
        <v>0</v>
      </c>
      <c r="L160" s="136" t="str">
        <f>_xlfn.IFNA(VLOOKUP(A160,[1]IRESS!$A$10:$F$875,4,FALSE),"n/a")</f>
        <v>0</v>
      </c>
      <c r="M160" s="138">
        <f t="shared" si="2"/>
        <v>0</v>
      </c>
      <c r="N160" s="139" t="e">
        <f>VLOOKUP(A160,[1]Spreads!$A$1:$G$87,2,FALSE)</f>
        <v>#N/A</v>
      </c>
      <c r="O160" s="137" t="e">
        <f>VLOOKUP(A160,[1]Spreads!$A$1:$G$87,5,FALSE)/1000</f>
        <v>#N/A</v>
      </c>
      <c r="P160" s="140" t="e">
        <f>VLOOKUP(A160,[1]Spreads!$A$1:$G$87,6,FALSE)/1000</f>
        <v>#N/A</v>
      </c>
      <c r="R160" s="141">
        <f>_xlfn.IFNA(VLOOKUP($A160,[1]IRESS!$A$11:$AE$696,6,FALSE)/100,"n/a")</f>
        <v>0.87849999999999995</v>
      </c>
      <c r="S160" s="117"/>
      <c r="T160" s="142" t="str">
        <f>IF(VLOOKUP($A160,[1]FE!$A$2:$G$498,3,FALSE)="N/A","n/a",IFERROR(VLOOKUP($A160,[1]FE!$A$2:$G$498,3,FALSE),"n/a"))</f>
        <v>-0.20%</v>
      </c>
      <c r="U160" s="138" t="str">
        <f>IF(VLOOKUP($A160,[1]FE!$A$2:$G$498,4,FALSE)="N/A","n/a",IFERROR(VLOOKUP($A160,[1]FE!$A$2:$G$498,4,FALSE),"n/a"))</f>
        <v>-0.82%</v>
      </c>
      <c r="V160" s="142" t="str">
        <f>IF(VLOOKUP($A160,[1]FE!$A$2:$G$498,5,FALSE)="N/A","n/a",IFERROR(VLOOKUP($A160,[1]FE!$A$2:$G$498,5,FALSE),"n/a"))</f>
        <v>0.52%</v>
      </c>
      <c r="W160" s="138" t="str">
        <f>IF(VLOOKUP($A160,[1]FE!$A$2:$G$498,6,FALSE)="N/A","n/a",IFERROR(VLOOKUP($A160,[1]FE!$A$2:$G$498,6,FALSE),"n/a"))</f>
        <v>2.77%</v>
      </c>
      <c r="X160" s="142" t="str">
        <f>IF(VLOOKUP($A160,[1]FE!$A$2:$G$498,7,FALSE)="N/A","n/a",IFERROR(VLOOKUP($A160,[1]FE!$A$2:$G$498,7,FALSE),"n/a"))</f>
        <v>2.79%</v>
      </c>
    </row>
    <row r="161" spans="1:24" ht="18.75">
      <c r="A161" s="129" t="s">
        <v>440</v>
      </c>
      <c r="B161" s="130" t="s">
        <v>298</v>
      </c>
      <c r="C161" s="148" t="str">
        <f>VLOOKUP(A161,'[1]mFund List'!$A$2:$B$311,2,FALSE)</f>
        <v>Janus Henderson Tactical Income Fund</v>
      </c>
      <c r="D161" s="149"/>
      <c r="E161" s="116"/>
      <c r="F161" s="133" t="str">
        <f>_xlfn.IFNA(VLOOKUP(A161,'[1]mFund List'!$A$2:$I$200,6,FALSE),"n/a")</f>
        <v>0.45%</v>
      </c>
      <c r="G161" s="134">
        <f>_xlfn.IFNA(VLOOKUP(A161,'[1]mFund List'!$A$2:$J$200,8,FALSE)/1000000,"n/a")</f>
        <v>3.1873778926990401</v>
      </c>
      <c r="H161" s="135">
        <f>_xlfn.IFNA(VLOOKUP(A161,'[1]mFund List'!$A$2:$N$200,14,FALSE)/1000000,"n/a")</f>
        <v>0.65755895292377009</v>
      </c>
      <c r="I161" s="134">
        <f>_xlfn.IFNA(VLOOKUP(A161,'[1]mFund List'!$A$2:$R$200,18,FALSE)/1000000,"n/a")</f>
        <v>0.65091340171692991</v>
      </c>
      <c r="J161" s="136">
        <f>_xlfn.IFNA(VLOOKUP(A161,[1]IRESS!$A$10:$F$875,5,FALSE),"n/a")</f>
        <v>650000</v>
      </c>
      <c r="K161" s="137">
        <f>_xlfn.IFNA(VLOOKUP(A161,[1]IRESS!$A$11:$G$684,7,FALSE),"n/a")</f>
        <v>609070.27390000003</v>
      </c>
      <c r="L161" s="136">
        <f>_xlfn.IFNA(VLOOKUP(A161,[1]IRESS!$A$10:$F$875,4,FALSE),"n/a")</f>
        <v>11</v>
      </c>
      <c r="M161" s="138">
        <f t="shared" si="2"/>
        <v>0.2039293807894195</v>
      </c>
      <c r="N161" s="139" t="e">
        <f>VLOOKUP(A161,[1]Spreads!$A$1:$G$87,2,FALSE)</f>
        <v>#N/A</v>
      </c>
      <c r="O161" s="137" t="e">
        <f>VLOOKUP(A161,[1]Spreads!$A$1:$G$87,5,FALSE)/1000</f>
        <v>#N/A</v>
      </c>
      <c r="P161" s="140" t="e">
        <f>VLOOKUP(A161,[1]Spreads!$A$1:$G$87,6,FALSE)/1000</f>
        <v>#N/A</v>
      </c>
      <c r="R161" s="141">
        <f>_xlfn.IFNA(VLOOKUP($A161,[1]IRESS!$A$11:$AE$696,6,FALSE)/100,"n/a")</f>
        <v>1.0687</v>
      </c>
      <c r="S161" s="117"/>
      <c r="T161" s="142" t="str">
        <f>IF(VLOOKUP($A161,[1]FE!$A$2:$G$498,3,FALSE)="N/A","n/a",IFERROR(VLOOKUP($A161,[1]FE!$A$2:$G$498,3,FALSE),"n/a"))</f>
        <v>0.26%</v>
      </c>
      <c r="U161" s="138" t="str">
        <f>IF(VLOOKUP($A161,[1]FE!$A$2:$G$498,4,FALSE)="N/A","n/a",IFERROR(VLOOKUP($A161,[1]FE!$A$2:$G$498,4,FALSE),"n/a"))</f>
        <v>0.78%</v>
      </c>
      <c r="V161" s="142" t="str">
        <f>IF(VLOOKUP($A161,[1]FE!$A$2:$G$498,5,FALSE)="N/A","n/a",IFERROR(VLOOKUP($A161,[1]FE!$A$2:$G$498,5,FALSE),"n/a"))</f>
        <v>2.89%</v>
      </c>
      <c r="W161" s="138" t="str">
        <f>IF(VLOOKUP($A161,[1]FE!$A$2:$G$498,6,FALSE)="N/A","n/a",IFERROR(VLOOKUP($A161,[1]FE!$A$2:$G$498,6,FALSE),"n/a"))</f>
        <v>3.12%</v>
      </c>
      <c r="X161" s="142" t="str">
        <f>IF(VLOOKUP($A161,[1]FE!$A$2:$G$498,7,FALSE)="N/A","n/a",IFERROR(VLOOKUP($A161,[1]FE!$A$2:$G$498,7,FALSE),"n/a"))</f>
        <v>3.58%</v>
      </c>
    </row>
    <row r="162" spans="1:24" ht="18.75">
      <c r="A162" s="129" t="s">
        <v>441</v>
      </c>
      <c r="B162" s="130" t="s">
        <v>298</v>
      </c>
      <c r="C162" s="148" t="str">
        <f>VLOOKUP(A162,'[1]mFund List'!$A$2:$B$311,2,FALSE)</f>
        <v>Legg Mason Western Asset Australian Bond Trust A</v>
      </c>
      <c r="D162" s="149"/>
      <c r="E162" s="116"/>
      <c r="F162" s="133" t="str">
        <f>_xlfn.IFNA(VLOOKUP(A162,'[1]mFund List'!$A$2:$I$200,6,FALSE),"n/a")</f>
        <v>0.42%</v>
      </c>
      <c r="G162" s="134">
        <f>_xlfn.IFNA(VLOOKUP(A162,'[1]mFund List'!$A$2:$J$200,8,FALSE)/1000000,"n/a")</f>
        <v>1.8356617225952789</v>
      </c>
      <c r="H162" s="135">
        <f>_xlfn.IFNA(VLOOKUP(A162,'[1]mFund List'!$A$2:$N$200,14,FALSE)/1000000,"n/a")</f>
        <v>-6.1336831303392533E-3</v>
      </c>
      <c r="I162" s="134">
        <f>_xlfn.IFNA(VLOOKUP(A162,'[1]mFund List'!$A$2:$R$200,18,FALSE)/1000000,"n/a")</f>
        <v>-9.7134019331669551E-3</v>
      </c>
      <c r="J162" s="136">
        <f>_xlfn.IFNA(VLOOKUP(A162,[1]IRESS!$A$10:$F$875,5,FALSE),"n/a")</f>
        <v>110968.89</v>
      </c>
      <c r="K162" s="137">
        <f>_xlfn.IFNA(VLOOKUP(A162,[1]IRESS!$A$11:$G$684,7,FALSE),"n/a")</f>
        <v>90472.725100000011</v>
      </c>
      <c r="L162" s="136">
        <f>_xlfn.IFNA(VLOOKUP(A162,[1]IRESS!$A$10:$F$875,4,FALSE),"n/a")</f>
        <v>6</v>
      </c>
      <c r="M162" s="138">
        <f t="shared" si="2"/>
        <v>6.04517099387522E-2</v>
      </c>
      <c r="N162" s="139" t="e">
        <f>VLOOKUP(A162,[1]Spreads!$A$1:$G$87,2,FALSE)</f>
        <v>#N/A</v>
      </c>
      <c r="O162" s="137" t="e">
        <f>VLOOKUP(A162,[1]Spreads!$A$1:$G$87,5,FALSE)/1000</f>
        <v>#N/A</v>
      </c>
      <c r="P162" s="140" t="e">
        <f>VLOOKUP(A162,[1]Spreads!$A$1:$G$87,6,FALSE)/1000</f>
        <v>#N/A</v>
      </c>
      <c r="R162" s="141">
        <f>_xlfn.IFNA(VLOOKUP($A162,[1]IRESS!$A$11:$AE$696,6,FALSE)/100,"n/a")</f>
        <v>1.2269099999999999</v>
      </c>
      <c r="S162" s="117"/>
      <c r="T162" s="142" t="str">
        <f>IF(VLOOKUP($A162,[1]FE!$A$2:$G$498,3,FALSE)="N/A","n/a",IFERROR(VLOOKUP($A162,[1]FE!$A$2:$G$498,3,FALSE),"n/a"))</f>
        <v>0.44%</v>
      </c>
      <c r="U162" s="138" t="str">
        <f>IF(VLOOKUP($A162,[1]FE!$A$2:$G$498,4,FALSE)="N/A","n/a",IFERROR(VLOOKUP($A162,[1]FE!$A$2:$G$498,4,FALSE),"n/a"))</f>
        <v>0.75%</v>
      </c>
      <c r="V162" s="142" t="str">
        <f>IF(VLOOKUP($A162,[1]FE!$A$2:$G$498,5,FALSE)="N/A","n/a",IFERROR(VLOOKUP($A162,[1]FE!$A$2:$G$498,5,FALSE),"n/a"))</f>
        <v>3.35%</v>
      </c>
      <c r="W162" s="138" t="str">
        <f>IF(VLOOKUP($A162,[1]FE!$A$2:$G$498,6,FALSE)="N/A","n/a",IFERROR(VLOOKUP($A162,[1]FE!$A$2:$G$498,6,FALSE),"n/a"))</f>
        <v>3.66%</v>
      </c>
      <c r="X162" s="142" t="str">
        <f>IF(VLOOKUP($A162,[1]FE!$A$2:$G$498,7,FALSE)="N/A","n/a",IFERROR(VLOOKUP($A162,[1]FE!$A$2:$G$498,7,FALSE),"n/a"))</f>
        <v>4.69%</v>
      </c>
    </row>
    <row r="163" spans="1:24" ht="18.75">
      <c r="A163" s="129" t="s">
        <v>442</v>
      </c>
      <c r="B163" s="130" t="s">
        <v>298</v>
      </c>
      <c r="C163" s="148" t="str">
        <f>VLOOKUP(A163,'[1]mFund List'!$A$2:$B$311,2,FALSE)</f>
        <v>Macquarie Income Opportunities Fund</v>
      </c>
      <c r="D163" s="149"/>
      <c r="E163" s="116"/>
      <c r="F163" s="142">
        <f>_xlfn.IFNA(VLOOKUP(A163,'[1]mFund List'!$A$2:$I$200,6,FALSE),"n/a")</f>
        <v>5.1000000000000004E-3</v>
      </c>
      <c r="G163" s="134">
        <f>_xlfn.IFNA(VLOOKUP(A163,'[1]mFund List'!$A$2:$J$200,8,FALSE)/1000000,"n/a")</f>
        <v>0.29003262055200002</v>
      </c>
      <c r="H163" s="135">
        <f>_xlfn.IFNA(VLOOKUP(A163,'[1]mFund List'!$A$2:$N$200,14,FALSE)/1000000,"n/a")</f>
        <v>0.29003262055200002</v>
      </c>
      <c r="I163" s="134">
        <f>_xlfn.IFNA(VLOOKUP(A163,'[1]mFund List'!$A$2:$R$200,18,FALSE)/1000000,"n/a")</f>
        <v>0.29003262055200002</v>
      </c>
      <c r="J163" s="136">
        <f>_xlfn.IFNA(VLOOKUP(A163,[1]IRESS!$A$10:$F$875,5,FALSE),"n/a")</f>
        <v>291000</v>
      </c>
      <c r="K163" s="137">
        <f>_xlfn.IFNA(VLOOKUP(A163,[1]IRESS!$A$11:$G$684,7,FALSE),"n/a")</f>
        <v>285802.74</v>
      </c>
      <c r="L163" s="136">
        <f>_xlfn.IFNA(VLOOKUP(A163,[1]IRESS!$A$10:$F$875,4,FALSE),"n/a")</f>
        <v>5</v>
      </c>
      <c r="M163" s="138">
        <f>+J163/(G163*1000000)</f>
        <v>1.0033354160168564</v>
      </c>
      <c r="N163" s="139" t="e">
        <f>VLOOKUP(A163,[1]Spreads!$A$1:$G$87,2,FALSE)</f>
        <v>#N/A</v>
      </c>
      <c r="O163" s="137" t="e">
        <f>VLOOKUP(A163,[1]Spreads!$A$1:$G$87,5,FALSE)/1000</f>
        <v>#N/A</v>
      </c>
      <c r="P163" s="140" t="e">
        <f>VLOOKUP(A163,[1]Spreads!$A$1:$G$87,6,FALSE)/1000</f>
        <v>#N/A</v>
      </c>
      <c r="R163" s="141">
        <f>_xlfn.IFNA(VLOOKUP($A163,[1]IRESS!$A$11:$AE$696,6,FALSE)/100,"n/a")</f>
        <v>1.0148000000000001</v>
      </c>
      <c r="S163" s="117"/>
      <c r="T163" s="142" t="str">
        <f>IF(VLOOKUP($A163,[1]FE!$A$2:$G$498,3,FALSE)="N/A","n/a",IFERROR(VLOOKUP($A163,[1]FE!$A$2:$G$498,3,FALSE),"n/a"))</f>
        <v>-0.11%</v>
      </c>
      <c r="U163" s="138" t="str">
        <f>IF(VLOOKUP($A163,[1]FE!$A$2:$G$498,4,FALSE)="N/A","n/a",IFERROR(VLOOKUP($A163,[1]FE!$A$2:$G$498,4,FALSE),"n/a"))</f>
        <v>-0.09%</v>
      </c>
      <c r="V163" s="142" t="str">
        <f>IF(VLOOKUP($A163,[1]FE!$A$2:$G$498,5,FALSE)="N/A","n/a",IFERROR(VLOOKUP($A163,[1]FE!$A$2:$G$498,5,FALSE),"n/a"))</f>
        <v>1.89%</v>
      </c>
      <c r="W163" s="138" t="str">
        <f>IF(VLOOKUP($A163,[1]FE!$A$2:$G$498,6,FALSE)="N/A","n/a",IFERROR(VLOOKUP($A163,[1]FE!$A$2:$G$498,6,FALSE),"n/a"))</f>
        <v>2.87%</v>
      </c>
      <c r="X163" s="142" t="str">
        <f>IF(VLOOKUP($A163,[1]FE!$A$2:$G$498,7,FALSE)="N/A","n/a",IFERROR(VLOOKUP($A163,[1]FE!$A$2:$G$498,7,FALSE),"n/a"))</f>
        <v>3.25%</v>
      </c>
    </row>
    <row r="164" spans="1:24" ht="18.75">
      <c r="A164" s="129" t="s">
        <v>443</v>
      </c>
      <c r="B164" s="130" t="s">
        <v>298</v>
      </c>
      <c r="C164" s="148" t="str">
        <f>VLOOKUP(A164,'[1]mFund List'!$A$2:$B$311,2,FALSE)</f>
        <v>PIMCO Australian Bond Fund Wholesale Class</v>
      </c>
      <c r="D164" s="149"/>
      <c r="E164" s="116"/>
      <c r="F164" s="133" t="str">
        <f>_xlfn.IFNA(VLOOKUP(A164,'[1]mFund List'!$A$2:$I$200,6,FALSE),"n/a")</f>
        <v>0.50%</v>
      </c>
      <c r="G164" s="134">
        <f>_xlfn.IFNA(VLOOKUP(A164,'[1]mFund List'!$A$2:$J$200,8,FALSE)/1000000,"n/a")</f>
        <v>10.153986925039408</v>
      </c>
      <c r="H164" s="135">
        <f>_xlfn.IFNA(VLOOKUP(A164,'[1]mFund List'!$A$2:$N$200,14,FALSE)/1000000,"n/a")</f>
        <v>0.205420553592911</v>
      </c>
      <c r="I164" s="134">
        <f>_xlfn.IFNA(VLOOKUP(A164,'[1]mFund List'!$A$2:$R$200,18,FALSE)/1000000,"n/a")</f>
        <v>0.1652342263782007</v>
      </c>
      <c r="J164" s="136">
        <f>_xlfn.IFNA(VLOOKUP(A164,[1]IRESS!$A$10:$F$875,5,FALSE),"n/a")</f>
        <v>494586.45</v>
      </c>
      <c r="K164" s="137">
        <f>_xlfn.IFNA(VLOOKUP(A164,[1]IRESS!$A$11:$G$684,7,FALSE),"n/a")</f>
        <v>487666.02909999999</v>
      </c>
      <c r="L164" s="136">
        <f>_xlfn.IFNA(VLOOKUP(A164,[1]IRESS!$A$10:$F$875,4,FALSE),"n/a")</f>
        <v>10</v>
      </c>
      <c r="M164" s="138">
        <f t="shared" si="2"/>
        <v>4.8708596303228005E-2</v>
      </c>
      <c r="N164" s="139" t="e">
        <f>VLOOKUP(A164,[1]Spreads!$A$1:$G$87,2,FALSE)</f>
        <v>#N/A</v>
      </c>
      <c r="O164" s="137" t="e">
        <f>VLOOKUP(A164,[1]Spreads!$A$1:$G$87,5,FALSE)/1000</f>
        <v>#N/A</v>
      </c>
      <c r="P164" s="140" t="e">
        <f>VLOOKUP(A164,[1]Spreads!$A$1:$G$87,6,FALSE)/1000</f>
        <v>#N/A</v>
      </c>
      <c r="R164" s="141">
        <f>_xlfn.IFNA(VLOOKUP($A164,[1]IRESS!$A$11:$AE$696,6,FALSE)/100,"n/a")</f>
        <v>1.0190999999999999</v>
      </c>
      <c r="S164" s="117"/>
      <c r="T164" s="142" t="str">
        <f>IF(VLOOKUP($A164,[1]FE!$A$2:$G$498,3,FALSE)="N/A","n/a",IFERROR(VLOOKUP($A164,[1]FE!$A$2:$G$498,3,FALSE),"n/a"))</f>
        <v>0.40%</v>
      </c>
      <c r="U164" s="138" t="str">
        <f>IF(VLOOKUP($A164,[1]FE!$A$2:$G$498,4,FALSE)="N/A","n/a",IFERROR(VLOOKUP($A164,[1]FE!$A$2:$G$498,4,FALSE),"n/a"))</f>
        <v>0.49%</v>
      </c>
      <c r="V164" s="142" t="str">
        <f>IF(VLOOKUP($A164,[1]FE!$A$2:$G$498,5,FALSE)="N/A","n/a",IFERROR(VLOOKUP($A164,[1]FE!$A$2:$G$498,5,FALSE),"n/a"))</f>
        <v>2.72%</v>
      </c>
      <c r="W164" s="138" t="str">
        <f>IF(VLOOKUP($A164,[1]FE!$A$2:$G$498,6,FALSE)="N/A","n/a",IFERROR(VLOOKUP($A164,[1]FE!$A$2:$G$498,6,FALSE),"n/a"))</f>
        <v>3.30%</v>
      </c>
      <c r="X164" s="142" t="str">
        <f>IF(VLOOKUP($A164,[1]FE!$A$2:$G$498,7,FALSE)="N/A","n/a",IFERROR(VLOOKUP($A164,[1]FE!$A$2:$G$498,7,FALSE),"n/a"))</f>
        <v>4.24%</v>
      </c>
    </row>
    <row r="165" spans="1:24" s="91" customFormat="1" ht="18.75">
      <c r="A165" s="129" t="s">
        <v>444</v>
      </c>
      <c r="B165" s="130" t="s">
        <v>298</v>
      </c>
      <c r="C165" s="148" t="str">
        <f>VLOOKUP(A165,'[1]mFund List'!$A$2:$B$311,2,FALSE)</f>
        <v>PIMCO Australian Focus Fund Wholesale Class</v>
      </c>
      <c r="D165" s="149"/>
      <c r="E165" s="116"/>
      <c r="F165" s="133" t="str">
        <f>_xlfn.IFNA(VLOOKUP(A165,'[1]mFund List'!$A$2:$I$200,6,FALSE),"n/a")</f>
        <v>0.50%</v>
      </c>
      <c r="G165" s="134">
        <f>_xlfn.IFNA(VLOOKUP(A165,'[1]mFund List'!$A$2:$J$200,8,FALSE)/1000000,"n/a")</f>
        <v>0.75947999756431994</v>
      </c>
      <c r="H165" s="135">
        <f>_xlfn.IFNA(VLOOKUP(A165,'[1]mFund List'!$A$2:$N$200,14,FALSE)/1000000,"n/a")</f>
        <v>-8.7230750274479851E-2</v>
      </c>
      <c r="I165" s="134">
        <f>_xlfn.IFNA(VLOOKUP(A165,'[1]mFund List'!$A$2:$R$200,18,FALSE)/1000000,"n/a")</f>
        <v>-8.9511233242880017E-2</v>
      </c>
      <c r="J165" s="136">
        <f>_xlfn.IFNA(VLOOKUP(A165,[1]IRESS!$A$10:$F$875,5,FALSE),"n/a")</f>
        <v>89442.54</v>
      </c>
      <c r="K165" s="137">
        <f>_xlfn.IFNA(VLOOKUP(A165,[1]IRESS!$A$11:$G$684,7,FALSE),"n/a")</f>
        <v>85870.331200000001</v>
      </c>
      <c r="L165" s="136">
        <f>_xlfn.IFNA(VLOOKUP(A165,[1]IRESS!$A$10:$F$875,4,FALSE),"n/a")</f>
        <v>1</v>
      </c>
      <c r="M165" s="138">
        <f t="shared" si="2"/>
        <v>0.11776813120404155</v>
      </c>
      <c r="N165" s="139" t="e">
        <f>VLOOKUP(A165,[1]Spreads!$A$1:$G$87,2,FALSE)</f>
        <v>#N/A</v>
      </c>
      <c r="O165" s="137" t="e">
        <f>VLOOKUP(A165,[1]Spreads!$A$1:$G$87,5,FALSE)/1000</f>
        <v>#N/A</v>
      </c>
      <c r="P165" s="140" t="e">
        <f>VLOOKUP(A165,[1]Spreads!$A$1:$G$87,6,FALSE)/1000</f>
        <v>#N/A</v>
      </c>
      <c r="Q165" s="7"/>
      <c r="R165" s="141">
        <f>_xlfn.IFNA(VLOOKUP($A165,[1]IRESS!$A$11:$AE$696,6,FALSE)/100,"n/a")</f>
        <v>1.0424</v>
      </c>
      <c r="S165" s="117"/>
      <c r="T165" s="142" t="str">
        <f>IF(VLOOKUP($A165,[1]FE!$A$2:$G$498,3,FALSE)="N/A","n/a",IFERROR(VLOOKUP($A165,[1]FE!$A$2:$G$498,3,FALSE),"n/a"))</f>
        <v>0.27%</v>
      </c>
      <c r="U165" s="138" t="str">
        <f>IF(VLOOKUP($A165,[1]FE!$A$2:$G$498,4,FALSE)="N/A","n/a",IFERROR(VLOOKUP($A165,[1]FE!$A$2:$G$498,4,FALSE),"n/a"))</f>
        <v>0.57%</v>
      </c>
      <c r="V165" s="142" t="str">
        <f>IF(VLOOKUP($A165,[1]FE!$A$2:$G$498,5,FALSE)="N/A","n/a",IFERROR(VLOOKUP($A165,[1]FE!$A$2:$G$498,5,FALSE),"n/a"))</f>
        <v>2.41%</v>
      </c>
      <c r="W165" s="138" t="str">
        <f>IF(VLOOKUP($A165,[1]FE!$A$2:$G$498,6,FALSE)="N/A","n/a",IFERROR(VLOOKUP($A165,[1]FE!$A$2:$G$498,6,FALSE),"n/a"))</f>
        <v>2.73%</v>
      </c>
      <c r="X165" s="142" t="str">
        <f>IF(VLOOKUP($A165,[1]FE!$A$2:$G$498,7,FALSE)="N/A","n/a",IFERROR(VLOOKUP($A165,[1]FE!$A$2:$G$498,7,FALSE),"n/a"))</f>
        <v>3.22%</v>
      </c>
    </row>
    <row r="166" spans="1:24" s="91" customFormat="1" ht="18.75">
      <c r="A166" s="129" t="s">
        <v>445</v>
      </c>
      <c r="B166" s="130" t="s">
        <v>298</v>
      </c>
      <c r="C166" s="148" t="str">
        <f>VLOOKUP(A166,'[1]mFund List'!$A$2:$B$311,2,FALSE)</f>
        <v>PIMCO Capital Securities Fund Wholesale Class</v>
      </c>
      <c r="D166" s="149"/>
      <c r="E166" s="116"/>
      <c r="F166" s="133" t="str">
        <f>_xlfn.IFNA(VLOOKUP(A166,'[1]mFund List'!$A$2:$I$200,6,FALSE),"n/a")</f>
        <v>0.94%</v>
      </c>
      <c r="G166" s="134">
        <f>_xlfn.IFNA(VLOOKUP(A166,'[1]mFund List'!$A$2:$J$200,8,FALSE)/1000000,"n/a")</f>
        <v>3.62226560111309</v>
      </c>
      <c r="H166" s="135">
        <f>_xlfn.IFNA(VLOOKUP(A166,'[1]mFund List'!$A$2:$N$200,14,FALSE)/1000000,"n/a")</f>
        <v>-9.4150705530310519E-2</v>
      </c>
      <c r="I166" s="134">
        <f>_xlfn.IFNA(VLOOKUP(A166,'[1]mFund List'!$A$2:$R$200,18,FALSE)/1000000,"n/a")</f>
        <v>-7.624466826133007E-2</v>
      </c>
      <c r="J166" s="136">
        <f>_xlfn.IFNA(VLOOKUP(A166,[1]IRESS!$A$10:$F$875,5,FALSE),"n/a")</f>
        <v>205373.72999999998</v>
      </c>
      <c r="K166" s="137">
        <f>_xlfn.IFNA(VLOOKUP(A166,[1]IRESS!$A$11:$G$684,7,FALSE),"n/a")</f>
        <v>201258.52830000001</v>
      </c>
      <c r="L166" s="136">
        <f>_xlfn.IFNA(VLOOKUP(A166,[1]IRESS!$A$10:$F$875,4,FALSE),"n/a")</f>
        <v>4</v>
      </c>
      <c r="M166" s="138">
        <f t="shared" si="2"/>
        <v>5.6697590021253678E-2</v>
      </c>
      <c r="N166" s="139" t="e">
        <f>VLOOKUP(A166,[1]Spreads!$A$1:$G$87,2,FALSE)</f>
        <v>#N/A</v>
      </c>
      <c r="O166" s="137" t="e">
        <f>VLOOKUP(A166,[1]Spreads!$A$1:$G$87,5,FALSE)/1000</f>
        <v>#N/A</v>
      </c>
      <c r="P166" s="140" t="e">
        <f>VLOOKUP(A166,[1]Spreads!$A$1:$G$87,6,FALSE)/1000</f>
        <v>#N/A</v>
      </c>
      <c r="Q166" s="7"/>
      <c r="R166" s="141">
        <f>_xlfn.IFNA(VLOOKUP($A166,[1]IRESS!$A$11:$AE$696,6,FALSE)/100,"n/a")</f>
        <v>1.0121</v>
      </c>
      <c r="S166" s="117"/>
      <c r="T166" s="142" t="str">
        <f>IF(VLOOKUP($A166,[1]FE!$A$2:$G$498,3,FALSE)="N/A","n/a",IFERROR(VLOOKUP($A166,[1]FE!$A$2:$G$498,3,FALSE),"n/a"))</f>
        <v>-0.48%</v>
      </c>
      <c r="U166" s="138" t="str">
        <f>IF(VLOOKUP($A166,[1]FE!$A$2:$G$498,4,FALSE)="N/A","n/a",IFERROR(VLOOKUP($A166,[1]FE!$A$2:$G$498,4,FALSE),"n/a"))</f>
        <v>-2.12%</v>
      </c>
      <c r="V166" s="142" t="str">
        <f>IF(VLOOKUP($A166,[1]FE!$A$2:$G$498,5,FALSE)="N/A","n/a",IFERROR(VLOOKUP($A166,[1]FE!$A$2:$G$498,5,FALSE),"n/a"))</f>
        <v>1.88%</v>
      </c>
      <c r="W166" s="138" t="str">
        <f>IF(VLOOKUP($A166,[1]FE!$A$2:$G$498,6,FALSE)="N/A","n/a",IFERROR(VLOOKUP($A166,[1]FE!$A$2:$G$498,6,FALSE),"n/a"))</f>
        <v>n/a</v>
      </c>
      <c r="X166" s="142" t="str">
        <f>IF(VLOOKUP($A166,[1]FE!$A$2:$G$498,7,FALSE)="N/A","n/a",IFERROR(VLOOKUP($A166,[1]FE!$A$2:$G$498,7,FALSE),"n/a"))</f>
        <v>n/a</v>
      </c>
    </row>
    <row r="167" spans="1:24" s="91" customFormat="1" ht="18.75">
      <c r="A167" s="129" t="s">
        <v>446</v>
      </c>
      <c r="B167" s="130" t="s">
        <v>298</v>
      </c>
      <c r="C167" s="148" t="str">
        <f>VLOOKUP(A167,'[1]mFund List'!$A$2:$B$311,2,FALSE)</f>
        <v>Realm High Income Fund</v>
      </c>
      <c r="D167" s="149"/>
      <c r="E167" s="116"/>
      <c r="F167" s="133" t="str">
        <f>_xlfn.IFNA(VLOOKUP(A167,'[1]mFund List'!$A$2:$I$200,6,FALSE),"n/a")</f>
        <v>1.20%</v>
      </c>
      <c r="G167" s="134">
        <f>_xlfn.IFNA(VLOOKUP(A167,'[1]mFund List'!$A$2:$J$200,8,FALSE)/1000000,"n/a")</f>
        <v>0.34120595580044999</v>
      </c>
      <c r="H167" s="135">
        <f>_xlfn.IFNA(VLOOKUP(A167,'[1]mFund List'!$A$2:$N$200,14,FALSE)/1000000,"n/a")</f>
        <v>6.6387597199179985E-2</v>
      </c>
      <c r="I167" s="134">
        <f>_xlfn.IFNA(VLOOKUP(A167,'[1]mFund List'!$A$2:$R$200,18,FALSE)/1000000,"n/a")</f>
        <v>6.6439269354600039E-2</v>
      </c>
      <c r="J167" s="136">
        <f>_xlfn.IFNA(VLOOKUP(A167,[1]IRESS!$A$10:$F$875,5,FALSE),"n/a")</f>
        <v>66483</v>
      </c>
      <c r="K167" s="137">
        <f>_xlfn.IFNA(VLOOKUP(A167,[1]IRESS!$A$11:$G$684,7,FALSE),"n/a")</f>
        <v>62472.279600000002</v>
      </c>
      <c r="L167" s="136">
        <f>_xlfn.IFNA(VLOOKUP(A167,[1]IRESS!$A$10:$F$875,4,FALSE),"n/a")</f>
        <v>1</v>
      </c>
      <c r="M167" s="138">
        <f t="shared" si="2"/>
        <v>0.19484712640503188</v>
      </c>
      <c r="N167" s="139" t="e">
        <f>VLOOKUP(A167,[1]Spreads!$A$1:$G$87,2,FALSE)</f>
        <v>#N/A</v>
      </c>
      <c r="O167" s="137" t="e">
        <f>VLOOKUP(A167,[1]Spreads!$A$1:$G$87,5,FALSE)/1000</f>
        <v>#N/A</v>
      </c>
      <c r="P167" s="140" t="e">
        <f>VLOOKUP(A167,[1]Spreads!$A$1:$G$87,6,FALSE)/1000</f>
        <v>#N/A</v>
      </c>
      <c r="Q167" s="7"/>
      <c r="R167" s="141">
        <f>_xlfn.IFNA(VLOOKUP($A167,[1]IRESS!$A$11:$AE$696,6,FALSE)/100,"n/a")</f>
        <v>1.0634999999999999</v>
      </c>
      <c r="S167" s="117"/>
      <c r="T167" s="142" t="str">
        <f>IF(VLOOKUP($A167,[1]FE!$A$2:$G$498,3,FALSE)="N/A","n/a",IFERROR(VLOOKUP($A167,[1]FE!$A$2:$G$498,3,FALSE),"n/a"))</f>
        <v>0.19%</v>
      </c>
      <c r="U167" s="138" t="str">
        <f>IF(VLOOKUP($A167,[1]FE!$A$2:$G$498,4,FALSE)="N/A","n/a",IFERROR(VLOOKUP($A167,[1]FE!$A$2:$G$498,4,FALSE),"n/a"))</f>
        <v>0.40%</v>
      </c>
      <c r="V167" s="142" t="str">
        <f>IF(VLOOKUP($A167,[1]FE!$A$2:$G$498,5,FALSE)="N/A","n/a",IFERROR(VLOOKUP($A167,[1]FE!$A$2:$G$498,5,FALSE),"n/a"))</f>
        <v>2.22%</v>
      </c>
      <c r="W167" s="138" t="str">
        <f>IF(VLOOKUP($A167,[1]FE!$A$2:$G$498,6,FALSE)="N/A","n/a",IFERROR(VLOOKUP($A167,[1]FE!$A$2:$G$498,6,FALSE),"n/a"))</f>
        <v>3.72%</v>
      </c>
      <c r="X167" s="142" t="str">
        <f>IF(VLOOKUP($A167,[1]FE!$A$2:$G$498,7,FALSE)="N/A","n/a",IFERROR(VLOOKUP($A167,[1]FE!$A$2:$G$498,7,FALSE),"n/a"))</f>
        <v>4.43%</v>
      </c>
    </row>
    <row r="168" spans="1:24" s="45" customFormat="1" ht="18.75">
      <c r="A168" s="129" t="s">
        <v>447</v>
      </c>
      <c r="B168" s="130" t="s">
        <v>298</v>
      </c>
      <c r="C168" s="148" t="str">
        <f>VLOOKUP(A168,'[1]mFund List'!$A$2:$B$311,2,FALSE)</f>
        <v>Realm Cash Plus Fund - mFund Units</v>
      </c>
      <c r="D168" s="149"/>
      <c r="E168" s="116"/>
      <c r="F168" s="142">
        <f>_xlfn.IFNA(VLOOKUP(A168,'[1]mFund List'!$A$2:$I$200,6,FALSE),"n/a")</f>
        <v>4.4999999999999997E-3</v>
      </c>
      <c r="G168" s="134">
        <f>_xlfn.IFNA(VLOOKUP(A168,'[1]mFund List'!$A$2:$J$200,8,FALSE)/1000000,"n/a")</f>
        <v>0</v>
      </c>
      <c r="H168" s="135">
        <f>_xlfn.IFNA(VLOOKUP(A168,'[1]mFund List'!$A$2:$N$200,14,FALSE)/1000000,"n/a")</f>
        <v>0</v>
      </c>
      <c r="I168" s="134">
        <f>_xlfn.IFNA(VLOOKUP(A168,'[1]mFund List'!$A$2:$R$200,18,FALSE)/1000000,"n/a")</f>
        <v>0</v>
      </c>
      <c r="J168" s="136" t="str">
        <f>_xlfn.IFNA(VLOOKUP(A168,[1]IRESS!$A$10:$F$875,5,FALSE),"n/a")</f>
        <v>0</v>
      </c>
      <c r="K168" s="137" t="str">
        <f>_xlfn.IFNA(VLOOKUP(A168,[1]IRESS!$A$11:$G$684,7,FALSE),"n/a")</f>
        <v>0</v>
      </c>
      <c r="L168" s="136" t="str">
        <f>_xlfn.IFNA(VLOOKUP(A168,[1]IRESS!$A$10:$F$875,4,FALSE),"n/a")</f>
        <v>0</v>
      </c>
      <c r="M168" s="138" t="e">
        <f t="shared" si="2"/>
        <v>#DIV/0!</v>
      </c>
      <c r="N168" s="139" t="e">
        <f>VLOOKUP(A168,[1]Spreads!$A$1:$G$87,2,FALSE)</f>
        <v>#N/A</v>
      </c>
      <c r="O168" s="137" t="e">
        <f>VLOOKUP(A168,[1]Spreads!$A$1:$G$87,5,FALSE)/1000</f>
        <v>#N/A</v>
      </c>
      <c r="P168" s="140" t="e">
        <f>VLOOKUP(A168,[1]Spreads!$A$1:$G$87,6,FALSE)/1000</f>
        <v>#N/A</v>
      </c>
      <c r="Q168" s="7"/>
      <c r="R168" s="141">
        <f>_xlfn.IFNA(VLOOKUP($A168,[1]IRESS!$A$11:$AE$696,6,FALSE)/100,"n/a")</f>
        <v>1</v>
      </c>
      <c r="S168" s="117"/>
      <c r="T168" s="142" t="str">
        <f>IF(VLOOKUP($A168,[1]FE!$A$2:$G$498,3,FALSE)="N/A","n/a",IFERROR(VLOOKUP($A168,[1]FE!$A$2:$G$498,3,FALSE),"n/a"))</f>
        <v>0.00%</v>
      </c>
      <c r="U168" s="138" t="str">
        <f>IF(VLOOKUP($A168,[1]FE!$A$2:$G$498,4,FALSE)="N/A","n/a",IFERROR(VLOOKUP($A168,[1]FE!$A$2:$G$498,4,FALSE),"n/a"))</f>
        <v>0.00%</v>
      </c>
      <c r="V168" s="142" t="str">
        <f>IF(VLOOKUP($A168,[1]FE!$A$2:$G$498,5,FALSE)="N/A","n/a",IFERROR(VLOOKUP($A168,[1]FE!$A$2:$G$498,5,FALSE),"n/a"))</f>
        <v>n/a</v>
      </c>
      <c r="W168" s="138" t="str">
        <f>IF(VLOOKUP($A168,[1]FE!$A$2:$G$498,6,FALSE)="N/A","n/a",IFERROR(VLOOKUP($A168,[1]FE!$A$2:$G$498,6,FALSE),"n/a"))</f>
        <v>n/a</v>
      </c>
      <c r="X168" s="142" t="str">
        <f>IF(VLOOKUP($A168,[1]FE!$A$2:$G$498,7,FALSE)="N/A","n/a",IFERROR(VLOOKUP($A168,[1]FE!$A$2:$G$498,7,FALSE),"n/a"))</f>
        <v>n/a</v>
      </c>
    </row>
    <row r="169" spans="1:24" s="45" customFormat="1" ht="18.75">
      <c r="A169" s="129" t="s">
        <v>448</v>
      </c>
      <c r="B169" s="130" t="s">
        <v>298</v>
      </c>
      <c r="C169" s="148" t="str">
        <f>VLOOKUP(A169,'[1]mFund List'!$A$2:$B$311,2,FALSE)</f>
        <v>Schroder Absolute Return Income Fund</v>
      </c>
      <c r="D169" s="149"/>
      <c r="E169" s="116"/>
      <c r="F169" s="142">
        <f>_xlfn.IFNA(VLOOKUP(A169,'[1]mFund List'!$A$2:$I$200,6,FALSE),"n/a")</f>
        <v>5.4000000000000003E-3</v>
      </c>
      <c r="G169" s="134">
        <f>_xlfn.IFNA(VLOOKUP(A169,'[1]mFund List'!$A$2:$J$200,8,FALSE)/1000000,"n/a")</f>
        <v>0.14940602662735997</v>
      </c>
      <c r="H169" s="135">
        <f>_xlfn.IFNA(VLOOKUP(A169,'[1]mFund List'!$A$2:$N$200,14,FALSE)/1000000,"n/a")</f>
        <v>0.14940602662735997</v>
      </c>
      <c r="I169" s="134">
        <f>_xlfn.IFNA(VLOOKUP(A169,'[1]mFund List'!$A$2:$R$200,18,FALSE)/1000000,"n/a")</f>
        <v>0.14940602662735997</v>
      </c>
      <c r="J169" s="136">
        <f>_xlfn.IFNA(VLOOKUP(A169,[1]IRESS!$A$10:$F$875,5,FALSE),"n/a")</f>
        <v>150000</v>
      </c>
      <c r="K169" s="137">
        <f>_xlfn.IFNA(VLOOKUP(A169,[1]IRESS!$A$11:$G$684,7,FALSE),"n/a")</f>
        <v>144871.5472</v>
      </c>
      <c r="L169" s="136">
        <f>_xlfn.IFNA(VLOOKUP(A169,[1]IRESS!$A$10:$F$875,4,FALSE),"n/a")</f>
        <v>1</v>
      </c>
      <c r="M169" s="138">
        <f>+J169/(G169*1000000)</f>
        <v>1.0039755650160049</v>
      </c>
      <c r="N169" s="139" t="e">
        <f>VLOOKUP(A169,[1]Spreads!$A$1:$G$87,2,FALSE)</f>
        <v>#N/A</v>
      </c>
      <c r="O169" s="137" t="e">
        <f>VLOOKUP(A169,[1]Spreads!$A$1:$G$87,5,FALSE)/1000</f>
        <v>#N/A</v>
      </c>
      <c r="P169" s="140" t="e">
        <f>VLOOKUP(A169,[1]Spreads!$A$1:$G$87,6,FALSE)/1000</f>
        <v>#N/A</v>
      </c>
      <c r="Q169" s="7"/>
      <c r="R169" s="141">
        <f>_xlfn.IFNA(VLOOKUP($A169,[1]IRESS!$A$11:$AE$696,6,FALSE)/100,"n/a")</f>
        <v>1.0312999999999999</v>
      </c>
      <c r="S169" s="117"/>
      <c r="T169" s="142" t="str">
        <f>IF(VLOOKUP($A169,[1]FE!$A$2:$G$498,3,FALSE)="N/A","n/a",IFERROR(VLOOKUP($A169,[1]FE!$A$2:$G$498,3,FALSE),"n/a"))</f>
        <v>0.27%</v>
      </c>
      <c r="U169" s="138" t="str">
        <f>IF(VLOOKUP($A169,[1]FE!$A$2:$G$498,4,FALSE)="N/A","n/a",IFERROR(VLOOKUP($A169,[1]FE!$A$2:$G$498,4,FALSE),"n/a"))</f>
        <v>0.25%</v>
      </c>
      <c r="V169" s="142" t="str">
        <f>IF(VLOOKUP($A169,[1]FE!$A$2:$G$498,5,FALSE)="N/A","n/a",IFERROR(VLOOKUP($A169,[1]FE!$A$2:$G$498,5,FALSE),"n/a"))</f>
        <v>2.63%</v>
      </c>
      <c r="W169" s="138" t="str">
        <f>IF(VLOOKUP($A169,[1]FE!$A$2:$G$498,6,FALSE)="N/A","n/a",IFERROR(VLOOKUP($A169,[1]FE!$A$2:$G$498,6,FALSE),"n/a"))</f>
        <v>3.18%</v>
      </c>
      <c r="X169" s="142" t="str">
        <f>IF(VLOOKUP($A169,[1]FE!$A$2:$G$498,7,FALSE)="N/A","n/a",IFERROR(VLOOKUP($A169,[1]FE!$A$2:$G$498,7,FALSE),"n/a"))</f>
        <v>3.46%</v>
      </c>
    </row>
    <row r="170" spans="1:24" ht="18.75">
      <c r="A170" s="129" t="s">
        <v>449</v>
      </c>
      <c r="B170" s="130" t="s">
        <v>298</v>
      </c>
      <c r="C170" s="148" t="str">
        <f>VLOOKUP(A170,'[1]mFund List'!$A$2:$B$311,2,FALSE)</f>
        <v>Smarter Money Active Cash</v>
      </c>
      <c r="D170" s="149"/>
      <c r="E170" s="116"/>
      <c r="F170" s="133" t="str">
        <f>_xlfn.IFNA(VLOOKUP(A170,'[1]mFund List'!$A$2:$I$200,6,FALSE),"n/a")</f>
        <v>0.66%</v>
      </c>
      <c r="G170" s="134">
        <f>_xlfn.IFNA(VLOOKUP(A170,'[1]mFund List'!$A$2:$J$200,8,FALSE)/1000000,"n/a")</f>
        <v>5.7381095965884894</v>
      </c>
      <c r="H170" s="135">
        <f>_xlfn.IFNA(VLOOKUP(A170,'[1]mFund List'!$A$2:$N$200,14,FALSE)/1000000,"n/a")</f>
        <v>3.6945323125699536E-2</v>
      </c>
      <c r="I170" s="134">
        <f>_xlfn.IFNA(VLOOKUP(A170,'[1]mFund List'!$A$2:$R$200,18,FALSE)/1000000,"n/a")</f>
        <v>3.0429086219180067E-2</v>
      </c>
      <c r="J170" s="136">
        <f>_xlfn.IFNA(VLOOKUP(A170,[1]IRESS!$A$10:$F$875,5,FALSE),"n/a")</f>
        <v>145731.27000000002</v>
      </c>
      <c r="K170" s="137">
        <f>_xlfn.IFNA(VLOOKUP(A170,[1]IRESS!$A$11:$G$684,7,FALSE),"n/a")</f>
        <v>138641.4074</v>
      </c>
      <c r="L170" s="136">
        <f>_xlfn.IFNA(VLOOKUP(A170,[1]IRESS!$A$10:$F$875,4,FALSE),"n/a")</f>
        <v>6</v>
      </c>
      <c r="M170" s="138">
        <f t="shared" si="2"/>
        <v>2.5397087236995689E-2</v>
      </c>
      <c r="N170" s="139" t="e">
        <f>VLOOKUP(A170,[1]Spreads!$A$1:$G$87,2,FALSE)</f>
        <v>#N/A</v>
      </c>
      <c r="O170" s="137" t="e">
        <f>VLOOKUP(A170,[1]Spreads!$A$1:$G$87,5,FALSE)/1000</f>
        <v>#N/A</v>
      </c>
      <c r="P170" s="140" t="e">
        <f>VLOOKUP(A170,[1]Spreads!$A$1:$G$87,6,FALSE)/1000</f>
        <v>#N/A</v>
      </c>
      <c r="R170" s="141">
        <f>_xlfn.IFNA(VLOOKUP($A170,[1]IRESS!$A$11:$AE$696,6,FALSE)/100,"n/a")</f>
        <v>1.0510999999999999</v>
      </c>
      <c r="S170" s="117"/>
      <c r="T170" s="142" t="str">
        <f>IF(VLOOKUP($A170,[1]FE!$A$2:$G$498,3,FALSE)="N/A","n/a",IFERROR(VLOOKUP($A170,[1]FE!$A$2:$G$498,3,FALSE),"n/a"))</f>
        <v>0.09%</v>
      </c>
      <c r="U170" s="138" t="str">
        <f>IF(VLOOKUP($A170,[1]FE!$A$2:$G$498,4,FALSE)="N/A","n/a",IFERROR(VLOOKUP($A170,[1]FE!$A$2:$G$498,4,FALSE),"n/a"))</f>
        <v>0.44%</v>
      </c>
      <c r="V170" s="142" t="str">
        <f>IF(VLOOKUP($A170,[1]FE!$A$2:$G$498,5,FALSE)="N/A","n/a",IFERROR(VLOOKUP($A170,[1]FE!$A$2:$G$498,5,FALSE),"n/a"))</f>
        <v>2.03%</v>
      </c>
      <c r="W170" s="138" t="str">
        <f>IF(VLOOKUP($A170,[1]FE!$A$2:$G$498,6,FALSE)="N/A","n/a",IFERROR(VLOOKUP($A170,[1]FE!$A$2:$G$498,6,FALSE),"n/a"))</f>
        <v>2.85%</v>
      </c>
      <c r="X170" s="142" t="str">
        <f>IF(VLOOKUP($A170,[1]FE!$A$2:$G$498,7,FALSE)="N/A","n/a",IFERROR(VLOOKUP($A170,[1]FE!$A$2:$G$498,7,FALSE),"n/a"))</f>
        <v>3.20%</v>
      </c>
    </row>
    <row r="171" spans="1:24" ht="18.75">
      <c r="A171" s="129" t="s">
        <v>450</v>
      </c>
      <c r="B171" s="130" t="s">
        <v>298</v>
      </c>
      <c r="C171" s="148" t="str">
        <f>VLOOKUP(A171,'[1]mFund List'!$A$2:$B$311,2,FALSE)</f>
        <v>Smarter Money Higher Income</v>
      </c>
      <c r="D171" s="149"/>
      <c r="E171" s="116"/>
      <c r="F171" s="133" t="str">
        <f>_xlfn.IFNA(VLOOKUP(A171,'[1]mFund List'!$A$2:$I$200,6,FALSE),"n/a")</f>
        <v>0.69%</v>
      </c>
      <c r="G171" s="134">
        <f>_xlfn.IFNA(VLOOKUP(A171,'[1]mFund List'!$A$2:$J$200,8,FALSE)/1000000,"n/a")</f>
        <v>7.0911443632965003</v>
      </c>
      <c r="H171" s="135">
        <f>_xlfn.IFNA(VLOOKUP(A171,'[1]mFund List'!$A$2:$N$200,14,FALSE)/1000000,"n/a")</f>
        <v>-5.4576674510399811E-2</v>
      </c>
      <c r="I171" s="134">
        <f>_xlfn.IFNA(VLOOKUP(A171,'[1]mFund List'!$A$2:$R$200,18,FALSE)/1000000,"n/a")</f>
        <v>-7.1054675700450695E-2</v>
      </c>
      <c r="J171" s="136">
        <f>_xlfn.IFNA(VLOOKUP(A171,[1]IRESS!$A$10:$F$875,5,FALSE),"n/a")</f>
        <v>170955.26</v>
      </c>
      <c r="K171" s="137">
        <f>_xlfn.IFNA(VLOOKUP(A171,[1]IRESS!$A$11:$G$684,7,FALSE),"n/a")</f>
        <v>171085.99950000001</v>
      </c>
      <c r="L171" s="136">
        <f>_xlfn.IFNA(VLOOKUP(A171,[1]IRESS!$A$10:$F$875,4,FALSE),"n/a")</f>
        <v>6</v>
      </c>
      <c r="M171" s="138">
        <f t="shared" si="2"/>
        <v>2.4108275229151741E-2</v>
      </c>
      <c r="N171" s="139" t="e">
        <f>VLOOKUP(A171,[1]Spreads!$A$1:$G$87,2,FALSE)</f>
        <v>#N/A</v>
      </c>
      <c r="O171" s="137" t="e">
        <f>VLOOKUP(A171,[1]Spreads!$A$1:$G$87,5,FALSE)/1000</f>
        <v>#N/A</v>
      </c>
      <c r="P171" s="140" t="e">
        <f>VLOOKUP(A171,[1]Spreads!$A$1:$G$87,6,FALSE)/1000</f>
        <v>#N/A</v>
      </c>
      <c r="R171" s="141">
        <f>_xlfn.IFNA(VLOOKUP($A171,[1]IRESS!$A$11:$AE$696,6,FALSE)/100,"n/a")</f>
        <v>0.99970000000000003</v>
      </c>
      <c r="S171" s="117"/>
      <c r="T171" s="142" t="str">
        <f>IF(VLOOKUP($A171,[1]FE!$A$2:$G$498,3,FALSE)="N/A","n/a",IFERROR(VLOOKUP($A171,[1]FE!$A$2:$G$498,3,FALSE),"n/a"))</f>
        <v>0.19%</v>
      </c>
      <c r="U171" s="138" t="str">
        <f>IF(VLOOKUP($A171,[1]FE!$A$2:$G$498,4,FALSE)="N/A","n/a",IFERROR(VLOOKUP($A171,[1]FE!$A$2:$G$498,4,FALSE),"n/a"))</f>
        <v>0.55%</v>
      </c>
      <c r="V171" s="142" t="str">
        <f>IF(VLOOKUP($A171,[1]FE!$A$2:$G$498,5,FALSE)="N/A","n/a",IFERROR(VLOOKUP($A171,[1]FE!$A$2:$G$498,5,FALSE),"n/a"))</f>
        <v>2.29%</v>
      </c>
      <c r="W171" s="138" t="str">
        <f>IF(VLOOKUP($A171,[1]FE!$A$2:$G$498,6,FALSE)="N/A","n/a",IFERROR(VLOOKUP($A171,[1]FE!$A$2:$G$498,6,FALSE),"n/a"))</f>
        <v>3.20%</v>
      </c>
      <c r="X171" s="142" t="str">
        <f>IF(VLOOKUP($A171,[1]FE!$A$2:$G$498,7,FALSE)="N/A","n/a",IFERROR(VLOOKUP($A171,[1]FE!$A$2:$G$498,7,FALSE),"n/a"))</f>
        <v>n/a</v>
      </c>
    </row>
    <row r="172" spans="1:24" ht="18.75">
      <c r="A172" s="129" t="s">
        <v>451</v>
      </c>
      <c r="B172" s="130" t="s">
        <v>298</v>
      </c>
      <c r="C172" s="148" t="str">
        <f>VLOOKUP(A172,'[1]mFund List'!$A$2:$B$311,2,FALSE)</f>
        <v>UBS Australian Bond Fund</v>
      </c>
      <c r="D172" s="149"/>
      <c r="E172" s="116"/>
      <c r="F172" s="133" t="str">
        <f>_xlfn.IFNA(VLOOKUP(A172,'[1]mFund List'!$A$2:$I$200,6,FALSE),"n/a")</f>
        <v>0.45%</v>
      </c>
      <c r="G172" s="134">
        <f>_xlfn.IFNA(VLOOKUP(A172,'[1]mFund List'!$A$2:$J$200,8,FALSE)/1000000,"n/a")</f>
        <v>1.0559395699957752</v>
      </c>
      <c r="H172" s="135">
        <f>_xlfn.IFNA(VLOOKUP(A172,'[1]mFund List'!$A$2:$N$200,14,FALSE)/1000000,"n/a")</f>
        <v>4.1416949292910283E-3</v>
      </c>
      <c r="I172" s="134">
        <f>_xlfn.IFNA(VLOOKUP(A172,'[1]mFund List'!$A$2:$R$200,18,FALSE)/1000000,"n/a")</f>
        <v>0</v>
      </c>
      <c r="J172" s="136" t="str">
        <f>_xlfn.IFNA(VLOOKUP(A172,[1]IRESS!$A$10:$F$875,5,FALSE),"n/a")</f>
        <v>0</v>
      </c>
      <c r="K172" s="137" t="str">
        <f>_xlfn.IFNA(VLOOKUP(A172,[1]IRESS!$A$11:$G$684,7,FALSE),"n/a")</f>
        <v>0</v>
      </c>
      <c r="L172" s="136" t="str">
        <f>_xlfn.IFNA(VLOOKUP(A172,[1]IRESS!$A$10:$F$875,4,FALSE),"n/a")</f>
        <v>0</v>
      </c>
      <c r="M172" s="138">
        <f t="shared" si="2"/>
        <v>0</v>
      </c>
      <c r="N172" s="139" t="e">
        <f>VLOOKUP(A172,[1]Spreads!$A$1:$G$87,2,FALSE)</f>
        <v>#N/A</v>
      </c>
      <c r="O172" s="137" t="e">
        <f>VLOOKUP(A172,[1]Spreads!$A$1:$G$87,5,FALSE)/1000</f>
        <v>#N/A</v>
      </c>
      <c r="P172" s="140" t="e">
        <f>VLOOKUP(A172,[1]Spreads!$A$1:$G$87,6,FALSE)/1000</f>
        <v>#N/A</v>
      </c>
      <c r="R172" s="141">
        <f>_xlfn.IFNA(VLOOKUP($A172,[1]IRESS!$A$11:$AE$696,6,FALSE)/100,"n/a")</f>
        <v>1.0963000000000001</v>
      </c>
      <c r="S172" s="117"/>
      <c r="T172" s="142" t="str">
        <f>IF(VLOOKUP($A172,[1]FE!$A$2:$G$498,3,FALSE)="N/A","n/a",IFERROR(VLOOKUP($A172,[1]FE!$A$2:$G$498,3,FALSE),"n/a"))</f>
        <v>0.48%</v>
      </c>
      <c r="U172" s="138" t="str">
        <f>IF(VLOOKUP($A172,[1]FE!$A$2:$G$498,4,FALSE)="N/A","n/a",IFERROR(VLOOKUP($A172,[1]FE!$A$2:$G$498,4,FALSE),"n/a"))</f>
        <v>0.77%</v>
      </c>
      <c r="V172" s="142" t="str">
        <f>IF(VLOOKUP($A172,[1]FE!$A$2:$G$498,5,FALSE)="N/A","n/a",IFERROR(VLOOKUP($A172,[1]FE!$A$2:$G$498,5,FALSE),"n/a"))</f>
        <v>3.26%</v>
      </c>
      <c r="W172" s="138" t="str">
        <f>IF(VLOOKUP($A172,[1]FE!$A$2:$G$498,6,FALSE)="N/A","n/a",IFERROR(VLOOKUP($A172,[1]FE!$A$2:$G$498,6,FALSE),"n/a"))</f>
        <v>3.57%</v>
      </c>
      <c r="X172" s="142" t="str">
        <f>IF(VLOOKUP($A172,[1]FE!$A$2:$G$498,7,FALSE)="N/A","n/a",IFERROR(VLOOKUP($A172,[1]FE!$A$2:$G$498,7,FALSE),"n/a"))</f>
        <v>4.29%</v>
      </c>
    </row>
    <row r="173" spans="1:24" s="108" customFormat="1" ht="18.75">
      <c r="A173" s="123" t="s">
        <v>189</v>
      </c>
      <c r="B173" s="124"/>
      <c r="C173" s="124"/>
      <c r="D173" s="124"/>
      <c r="E173" s="116"/>
      <c r="F173" s="143"/>
      <c r="G173" s="144"/>
      <c r="H173" s="144"/>
      <c r="I173" s="144"/>
      <c r="J173" s="145"/>
      <c r="K173" s="145"/>
      <c r="L173" s="145"/>
      <c r="M173" s="146"/>
      <c r="N173" s="146"/>
      <c r="O173" s="145"/>
      <c r="P173" s="145"/>
      <c r="Q173" s="7"/>
      <c r="R173" s="147"/>
      <c r="S173" s="117"/>
      <c r="T173" s="125"/>
      <c r="U173" s="125"/>
      <c r="V173" s="125"/>
      <c r="W173" s="125"/>
      <c r="X173" s="125"/>
    </row>
    <row r="174" spans="1:24" ht="18.75">
      <c r="A174" s="129" t="s">
        <v>452</v>
      </c>
      <c r="B174" s="130" t="s">
        <v>298</v>
      </c>
      <c r="C174" s="148" t="str">
        <f>VLOOKUP(A174,'[1]mFund List'!$A$2:$B$311,2,FALSE)</f>
        <v>Aberdeen Diversified Fixed Income</v>
      </c>
      <c r="D174" s="149"/>
      <c r="E174" s="116"/>
      <c r="F174" s="133" t="str">
        <f>_xlfn.IFNA(VLOOKUP(A174,'[1]mFund List'!$A$2:$I$200,6,FALSE),"n/a")</f>
        <v>0.45%</v>
      </c>
      <c r="G174" s="134">
        <f>_xlfn.IFNA(VLOOKUP(A174,'[1]mFund List'!$A$2:$J$200,8,FALSE)/1000000,"n/a")</f>
        <v>0.75850780367199999</v>
      </c>
      <c r="H174" s="135">
        <f>_xlfn.IFNA(VLOOKUP(A174,'[1]mFund List'!$A$2:$N$200,14,FALSE)/1000000,"n/a")</f>
        <v>-4.0212651300000027E-2</v>
      </c>
      <c r="I174" s="134">
        <f>_xlfn.IFNA(VLOOKUP(A174,'[1]mFund List'!$A$2:$R$200,18,FALSE)/1000000,"n/a")</f>
        <v>-4.0973417952000053E-2</v>
      </c>
      <c r="J174" s="136">
        <f>_xlfn.IFNA(VLOOKUP(A174,[1]IRESS!$A$10:$F$875,5,FALSE),"n/a")</f>
        <v>40903.19</v>
      </c>
      <c r="K174" s="137">
        <f>_xlfn.IFNA(VLOOKUP(A174,[1]IRESS!$A$11:$G$684,7,FALSE),"n/a")</f>
        <v>43321.440000000002</v>
      </c>
      <c r="L174" s="136">
        <f>_xlfn.IFNA(VLOOKUP(A174,[1]IRESS!$A$10:$F$875,4,FALSE),"n/a")</f>
        <v>2</v>
      </c>
      <c r="M174" s="138">
        <f t="shared" si="2"/>
        <v>5.3925865761676052E-2</v>
      </c>
      <c r="N174" s="139" t="e">
        <f>VLOOKUP(A174,[1]Spreads!$A$1:$G$87,2,FALSE)</f>
        <v>#N/A</v>
      </c>
      <c r="O174" s="137" t="e">
        <f>VLOOKUP(A174,[1]Spreads!$A$1:$G$87,5,FALSE)/1000</f>
        <v>#N/A</v>
      </c>
      <c r="P174" s="140" t="e">
        <f>VLOOKUP(A174,[1]Spreads!$A$1:$G$87,6,FALSE)/1000</f>
        <v>#N/A</v>
      </c>
      <c r="R174" s="141">
        <f>_xlfn.IFNA(VLOOKUP($A174,[1]IRESS!$A$11:$AE$696,6,FALSE)/100,"n/a")</f>
        <v>0.94579999999999997</v>
      </c>
      <c r="S174" s="117"/>
      <c r="T174" s="142" t="str">
        <f>IF(VLOOKUP($A174,[1]FE!$A$2:$G$498,3,FALSE)="N/A","n/a",IFERROR(VLOOKUP($A174,[1]FE!$A$2:$G$498,3,FALSE),"n/a"))</f>
        <v>0.10%</v>
      </c>
      <c r="U174" s="138" t="str">
        <f>IF(VLOOKUP($A174,[1]FE!$A$2:$G$498,4,FALSE)="N/A","n/a",IFERROR(VLOOKUP($A174,[1]FE!$A$2:$G$498,4,FALSE),"n/a"))</f>
        <v>0.08%</v>
      </c>
      <c r="V174" s="142" t="str">
        <f>IF(VLOOKUP($A174,[1]FE!$A$2:$G$498,5,FALSE)="N/A","n/a",IFERROR(VLOOKUP($A174,[1]FE!$A$2:$G$498,5,FALSE),"n/a"))</f>
        <v>2.27%</v>
      </c>
      <c r="W174" s="138" t="str">
        <f>IF(VLOOKUP($A174,[1]FE!$A$2:$G$498,6,FALSE)="N/A","n/a",IFERROR(VLOOKUP($A174,[1]FE!$A$2:$G$498,6,FALSE),"n/a"))</f>
        <v>3.61%</v>
      </c>
      <c r="X174" s="142" t="str">
        <f>IF(VLOOKUP($A174,[1]FE!$A$2:$G$498,7,FALSE)="N/A","n/a",IFERROR(VLOOKUP($A174,[1]FE!$A$2:$G$498,7,FALSE),"n/a"))</f>
        <v>4.57%</v>
      </c>
    </row>
    <row r="175" spans="1:24" ht="18.75">
      <c r="A175" s="129" t="s">
        <v>453</v>
      </c>
      <c r="B175" s="130" t="s">
        <v>298</v>
      </c>
      <c r="C175" s="148" t="str">
        <f>VLOOKUP(A175,'[1]mFund List'!$A$2:$B$311,2,FALSE)</f>
        <v>Bentham Wholesale High Yield</v>
      </c>
      <c r="D175" s="149"/>
      <c r="E175" s="116"/>
      <c r="F175" s="133" t="str">
        <f>_xlfn.IFNA(VLOOKUP(A175,'[1]mFund List'!$A$2:$I$200,6,FALSE),"n/a")</f>
        <v>0.72%</v>
      </c>
      <c r="G175" s="134">
        <f>_xlfn.IFNA(VLOOKUP(A175,'[1]mFund List'!$A$2:$J$200,8,FALSE)/1000000,"n/a")</f>
        <v>1.7688820593353598</v>
      </c>
      <c r="H175" s="135">
        <f>_xlfn.IFNA(VLOOKUP(A175,'[1]mFund List'!$A$2:$N$200,14,FALSE)/1000000,"n/a")</f>
        <v>-4.7823466883630261E-2</v>
      </c>
      <c r="I175" s="134">
        <f>_xlfn.IFNA(VLOOKUP(A175,'[1]mFund List'!$A$2:$R$200,18,FALSE)/1000000,"n/a")</f>
        <v>-5.1898973352020074E-2</v>
      </c>
      <c r="J175" s="136">
        <f>_xlfn.IFNA(VLOOKUP(A175,[1]IRESS!$A$10:$F$875,5,FALSE),"n/a")</f>
        <v>202434.56</v>
      </c>
      <c r="K175" s="137">
        <f>_xlfn.IFNA(VLOOKUP(A175,[1]IRESS!$A$11:$G$684,7,FALSE),"n/a")</f>
        <v>214796.18209999998</v>
      </c>
      <c r="L175" s="136">
        <f>_xlfn.IFNA(VLOOKUP(A175,[1]IRESS!$A$10:$F$875,4,FALSE),"n/a")</f>
        <v>7</v>
      </c>
      <c r="M175" s="138">
        <f t="shared" si="2"/>
        <v>0.11444209009393357</v>
      </c>
      <c r="N175" s="139" t="e">
        <f>VLOOKUP(A175,[1]Spreads!$A$1:$G$87,2,FALSE)</f>
        <v>#N/A</v>
      </c>
      <c r="O175" s="137" t="e">
        <f>VLOOKUP(A175,[1]Spreads!$A$1:$G$87,5,FALSE)/1000</f>
        <v>#N/A</v>
      </c>
      <c r="P175" s="140" t="e">
        <f>VLOOKUP(A175,[1]Spreads!$A$1:$G$87,6,FALSE)/1000</f>
        <v>#N/A</v>
      </c>
      <c r="R175" s="141">
        <f>_xlfn.IFNA(VLOOKUP($A175,[1]IRESS!$A$11:$AE$696,6,FALSE)/100,"n/a")</f>
        <v>0.93819999999999992</v>
      </c>
      <c r="S175" s="117"/>
      <c r="T175" s="142" t="str">
        <f>IF(VLOOKUP($A175,[1]FE!$A$2:$G$498,3,FALSE)="N/A","n/a",IFERROR(VLOOKUP($A175,[1]FE!$A$2:$G$498,3,FALSE),"n/a"))</f>
        <v>0.18%</v>
      </c>
      <c r="U175" s="138" t="str">
        <f>IF(VLOOKUP($A175,[1]FE!$A$2:$G$498,4,FALSE)="N/A","n/a",IFERROR(VLOOKUP($A175,[1]FE!$A$2:$G$498,4,FALSE),"n/a"))</f>
        <v>0.48%</v>
      </c>
      <c r="V175" s="142" t="str">
        <f>IF(VLOOKUP($A175,[1]FE!$A$2:$G$498,5,FALSE)="N/A","n/a",IFERROR(VLOOKUP($A175,[1]FE!$A$2:$G$498,5,FALSE),"n/a"))</f>
        <v>2.17%</v>
      </c>
      <c r="W175" s="138" t="str">
        <f>IF(VLOOKUP($A175,[1]FE!$A$2:$G$498,6,FALSE)="N/A","n/a",IFERROR(VLOOKUP($A175,[1]FE!$A$2:$G$498,6,FALSE),"n/a"))</f>
        <v>5.99%</v>
      </c>
      <c r="X175" s="142" t="str">
        <f>IF(VLOOKUP($A175,[1]FE!$A$2:$G$498,7,FALSE)="N/A","n/a",IFERROR(VLOOKUP($A175,[1]FE!$A$2:$G$498,7,FALSE),"n/a"))</f>
        <v>6.87%</v>
      </c>
    </row>
    <row r="176" spans="1:24" ht="18.75">
      <c r="A176" s="129" t="s">
        <v>454</v>
      </c>
      <c r="B176" s="130" t="s">
        <v>298</v>
      </c>
      <c r="C176" s="148" t="str">
        <f>VLOOKUP(A176,'[1]mFund List'!$A$2:$B$311,2,FALSE)</f>
        <v>Bentham Syndicated Loan Fund</v>
      </c>
      <c r="D176" s="149"/>
      <c r="E176" s="116"/>
      <c r="F176" s="133" t="str">
        <f>_xlfn.IFNA(VLOOKUP(A176,'[1]mFund List'!$A$2:$I$200,6,FALSE),"n/a")</f>
        <v>0.84%</v>
      </c>
      <c r="G176" s="134">
        <f>_xlfn.IFNA(VLOOKUP(A176,'[1]mFund List'!$A$2:$J$200,8,FALSE)/1000000,"n/a")</f>
        <v>1.5757625531195798</v>
      </c>
      <c r="H176" s="135">
        <f>_xlfn.IFNA(VLOOKUP(A176,'[1]mFund List'!$A$2:$N$200,14,FALSE)/1000000,"n/a")</f>
        <v>-3.1484455084460322E-2</v>
      </c>
      <c r="I176" s="134">
        <f>_xlfn.IFNA(VLOOKUP(A176,'[1]mFund List'!$A$2:$R$200,18,FALSE)/1000000,"n/a")</f>
        <v>-2.6635291202030072E-2</v>
      </c>
      <c r="J176" s="136">
        <f>_xlfn.IFNA(VLOOKUP(A176,[1]IRESS!$A$10:$F$875,5,FALSE),"n/a")</f>
        <v>22737.640000000003</v>
      </c>
      <c r="K176" s="137">
        <f>_xlfn.IFNA(VLOOKUP(A176,[1]IRESS!$A$11:$G$684,7,FALSE),"n/a")</f>
        <v>23660.3462</v>
      </c>
      <c r="L176" s="136">
        <f>_xlfn.IFNA(VLOOKUP(A176,[1]IRESS!$A$10:$F$875,4,FALSE),"n/a")</f>
        <v>21</v>
      </c>
      <c r="M176" s="138">
        <f t="shared" si="2"/>
        <v>1.4429610574883685E-2</v>
      </c>
      <c r="N176" s="139" t="e">
        <f>VLOOKUP(A176,[1]Spreads!$A$1:$G$87,2,FALSE)</f>
        <v>#N/A</v>
      </c>
      <c r="O176" s="137" t="e">
        <f>VLOOKUP(A176,[1]Spreads!$A$1:$G$87,5,FALSE)/1000</f>
        <v>#N/A</v>
      </c>
      <c r="P176" s="140" t="e">
        <f>VLOOKUP(A176,[1]Spreads!$A$1:$G$87,6,FALSE)/1000</f>
        <v>#N/A</v>
      </c>
      <c r="R176" s="141">
        <f>_xlfn.IFNA(VLOOKUP($A176,[1]IRESS!$A$11:$AE$696,6,FALSE)/100,"n/a")</f>
        <v>0.95829999999999993</v>
      </c>
      <c r="S176" s="117"/>
      <c r="T176" s="142" t="str">
        <f>IF(VLOOKUP($A176,[1]FE!$A$2:$G$498,3,FALSE)="N/A","n/a",IFERROR(VLOOKUP($A176,[1]FE!$A$2:$G$498,3,FALSE),"n/a"))</f>
        <v>0.15%</v>
      </c>
      <c r="U176" s="138" t="str">
        <f>IF(VLOOKUP($A176,[1]FE!$A$2:$G$498,4,FALSE)="N/A","n/a",IFERROR(VLOOKUP($A176,[1]FE!$A$2:$G$498,4,FALSE),"n/a"))</f>
        <v>0.78%</v>
      </c>
      <c r="V176" s="142" t="str">
        <f>IF(VLOOKUP($A176,[1]FE!$A$2:$G$498,5,FALSE)="N/A","n/a",IFERROR(VLOOKUP($A176,[1]FE!$A$2:$G$498,5,FALSE),"n/a"))</f>
        <v>5.08%</v>
      </c>
      <c r="W176" s="138" t="str">
        <f>IF(VLOOKUP($A176,[1]FE!$A$2:$G$498,6,FALSE)="N/A","n/a",IFERROR(VLOOKUP($A176,[1]FE!$A$2:$G$498,6,FALSE),"n/a"))</f>
        <v>5.69%</v>
      </c>
      <c r="X176" s="142" t="str">
        <f>IF(VLOOKUP($A176,[1]FE!$A$2:$G$498,7,FALSE)="N/A","n/a",IFERROR(VLOOKUP($A176,[1]FE!$A$2:$G$498,7,FALSE),"n/a"))</f>
        <v>6.22%</v>
      </c>
    </row>
    <row r="177" spans="1:24" ht="18.75">
      <c r="A177" s="129" t="s">
        <v>455</v>
      </c>
      <c r="B177" s="130" t="s">
        <v>298</v>
      </c>
      <c r="C177" s="148" t="str">
        <f>VLOOKUP(A177,'[1]mFund List'!$A$2:$B$311,2,FALSE)</f>
        <v>Bentham Global Income Fund</v>
      </c>
      <c r="D177" s="149"/>
      <c r="E177" s="116"/>
      <c r="F177" s="133" t="str">
        <f>_xlfn.IFNA(VLOOKUP(A177,'[1]mFund List'!$A$2:$I$200,6,FALSE),"n/a")</f>
        <v>0.77%</v>
      </c>
      <c r="G177" s="134">
        <f>_xlfn.IFNA(VLOOKUP(A177,'[1]mFund List'!$A$2:$J$200,8,FALSE)/1000000,"n/a")</f>
        <v>17.677965031814196</v>
      </c>
      <c r="H177" s="135">
        <f>_xlfn.IFNA(VLOOKUP(A177,'[1]mFund List'!$A$2:$N$200,14,FALSE)/1000000,"n/a")</f>
        <v>0.427090038070783</v>
      </c>
      <c r="I177" s="134">
        <f>_xlfn.IFNA(VLOOKUP(A177,'[1]mFund List'!$A$2:$R$200,18,FALSE)/1000000,"n/a")</f>
        <v>0.4629987569526407</v>
      </c>
      <c r="J177" s="136">
        <f>_xlfn.IFNA(VLOOKUP(A177,[1]IRESS!$A$10:$F$875,5,FALSE),"n/a")</f>
        <v>1062526.9500000004</v>
      </c>
      <c r="K177" s="137">
        <f>_xlfn.IFNA(VLOOKUP(A177,[1]IRESS!$A$11:$G$684,7,FALSE),"n/a")</f>
        <v>1001464.8218000002</v>
      </c>
      <c r="L177" s="136">
        <f>_xlfn.IFNA(VLOOKUP(A177,[1]IRESS!$A$10:$F$875,4,FALSE),"n/a")</f>
        <v>74</v>
      </c>
      <c r="M177" s="138">
        <f t="shared" si="2"/>
        <v>6.0104596207075929E-2</v>
      </c>
      <c r="N177" s="139" t="e">
        <f>VLOOKUP(A177,[1]Spreads!$A$1:$G$87,2,FALSE)</f>
        <v>#N/A</v>
      </c>
      <c r="O177" s="137" t="e">
        <f>VLOOKUP(A177,[1]Spreads!$A$1:$G$87,5,FALSE)/1000</f>
        <v>#N/A</v>
      </c>
      <c r="P177" s="140" t="e">
        <f>VLOOKUP(A177,[1]Spreads!$A$1:$G$87,6,FALSE)/1000</f>
        <v>#N/A</v>
      </c>
      <c r="R177" s="141">
        <f>_xlfn.IFNA(VLOOKUP($A177,[1]IRESS!$A$11:$AE$696,6,FALSE)/100,"n/a")</f>
        <v>1.0547</v>
      </c>
      <c r="S177" s="117"/>
      <c r="T177" s="142" t="str">
        <f>IF(VLOOKUP($A177,[1]FE!$A$2:$G$498,3,FALSE)="N/A","n/a",IFERROR(VLOOKUP($A177,[1]FE!$A$2:$G$498,3,FALSE),"n/a"))</f>
        <v>0.26%</v>
      </c>
      <c r="U177" s="138" t="str">
        <f>IF(VLOOKUP($A177,[1]FE!$A$2:$G$498,4,FALSE)="N/A","n/a",IFERROR(VLOOKUP($A177,[1]FE!$A$2:$G$498,4,FALSE),"n/a"))</f>
        <v>0.32%</v>
      </c>
      <c r="V177" s="142" t="str">
        <f>IF(VLOOKUP($A177,[1]FE!$A$2:$G$498,5,FALSE)="N/A","n/a",IFERROR(VLOOKUP($A177,[1]FE!$A$2:$G$498,5,FALSE),"n/a"))</f>
        <v>5.41%</v>
      </c>
      <c r="W177" s="138" t="str">
        <f>IF(VLOOKUP($A177,[1]FE!$A$2:$G$498,6,FALSE)="N/A","n/a",IFERROR(VLOOKUP($A177,[1]FE!$A$2:$G$498,6,FALSE),"n/a"))</f>
        <v>5.48%</v>
      </c>
      <c r="X177" s="142" t="str">
        <f>IF(VLOOKUP($A177,[1]FE!$A$2:$G$498,7,FALSE)="N/A","n/a",IFERROR(VLOOKUP($A177,[1]FE!$A$2:$G$498,7,FALSE),"n/a"))</f>
        <v>6.03%</v>
      </c>
    </row>
    <row r="178" spans="1:24" ht="18.75">
      <c r="A178" s="129" t="s">
        <v>456</v>
      </c>
      <c r="B178" s="130" t="s">
        <v>298</v>
      </c>
      <c r="C178" s="148" t="str">
        <f>VLOOKUP(A178,'[1]mFund List'!$A$2:$B$311,2,FALSE)</f>
        <v xml:space="preserve">Invesco Wholesale Senior Secured Income Fund </v>
      </c>
      <c r="D178" s="149"/>
      <c r="E178" s="116"/>
      <c r="F178" s="133" t="str">
        <f>_xlfn.IFNA(VLOOKUP(A178,'[1]mFund List'!$A$2:$I$200,6,FALSE),"n/a")</f>
        <v>0.75%</v>
      </c>
      <c r="G178" s="134">
        <f>_xlfn.IFNA(VLOOKUP(A178,'[1]mFund List'!$A$2:$J$200,8,FALSE)/1000000,"n/a")</f>
        <v>0.99093300731209999</v>
      </c>
      <c r="H178" s="135">
        <f>_xlfn.IFNA(VLOOKUP(A178,'[1]mFund List'!$A$2:$N$200,14,FALSE)/1000000,"n/a")</f>
        <v>-3.4363157030998263E-3</v>
      </c>
      <c r="I178" s="134">
        <f>_xlfn.IFNA(VLOOKUP(A178,'[1]mFund List'!$A$2:$R$200,18,FALSE)/1000000,"n/a")</f>
        <v>8.721844702000431E-4</v>
      </c>
      <c r="J178" s="136">
        <f>_xlfn.IFNA(VLOOKUP(A178,[1]IRESS!$A$10:$F$875,5,FALSE),"n/a")</f>
        <v>875.98</v>
      </c>
      <c r="K178" s="137">
        <f>_xlfn.IFNA(VLOOKUP(A178,[1]IRESS!$A$11:$G$684,7,FALSE),"n/a")</f>
        <v>716.13799999999992</v>
      </c>
      <c r="L178" s="136">
        <f>_xlfn.IFNA(VLOOKUP(A178,[1]IRESS!$A$10:$F$875,4,FALSE),"n/a")</f>
        <v>3</v>
      </c>
      <c r="M178" s="138">
        <f t="shared" si="2"/>
        <v>8.8399517781337269E-4</v>
      </c>
      <c r="N178" s="139" t="e">
        <f>VLOOKUP(A178,[1]Spreads!$A$1:$G$87,2,FALSE)</f>
        <v>#N/A</v>
      </c>
      <c r="O178" s="137" t="e">
        <f>VLOOKUP(A178,[1]Spreads!$A$1:$G$87,5,FALSE)/1000</f>
        <v>#N/A</v>
      </c>
      <c r="P178" s="140" t="e">
        <f>VLOOKUP(A178,[1]Spreads!$A$1:$G$87,6,FALSE)/1000</f>
        <v>#N/A</v>
      </c>
      <c r="R178" s="141">
        <f>_xlfn.IFNA(VLOOKUP($A178,[1]IRESS!$A$11:$AE$696,6,FALSE)/100,"n/a")</f>
        <v>1.2179</v>
      </c>
      <c r="S178" s="117"/>
      <c r="T178" s="142" t="str">
        <f>IF(VLOOKUP($A178,[1]FE!$A$2:$G$498,3,FALSE)="N/A","n/a",IFERROR(VLOOKUP($A178,[1]FE!$A$2:$G$498,3,FALSE),"n/a"))</f>
        <v>-0.11%</v>
      </c>
      <c r="U178" s="138" t="str">
        <f>IF(VLOOKUP($A178,[1]FE!$A$2:$G$498,4,FALSE)="N/A","n/a",IFERROR(VLOOKUP($A178,[1]FE!$A$2:$G$498,4,FALSE),"n/a"))</f>
        <v>0.60%</v>
      </c>
      <c r="V178" s="142" t="str">
        <f>IF(VLOOKUP($A178,[1]FE!$A$2:$G$498,5,FALSE)="N/A","n/a",IFERROR(VLOOKUP($A178,[1]FE!$A$2:$G$498,5,FALSE),"n/a"))</f>
        <v>4.27%</v>
      </c>
      <c r="W178" s="138" t="str">
        <f>IF(VLOOKUP($A178,[1]FE!$A$2:$G$498,6,FALSE)="N/A","n/a",IFERROR(VLOOKUP($A178,[1]FE!$A$2:$G$498,6,FALSE),"n/a"))</f>
        <v>4.94%</v>
      </c>
      <c r="X178" s="142" t="str">
        <f>IF(VLOOKUP($A178,[1]FE!$A$2:$G$498,7,FALSE)="N/A","n/a",IFERROR(VLOOKUP($A178,[1]FE!$A$2:$G$498,7,FALSE),"n/a"))</f>
        <v>4.34%</v>
      </c>
    </row>
    <row r="179" spans="1:24" ht="18.75">
      <c r="A179" s="129" t="s">
        <v>457</v>
      </c>
      <c r="B179" s="130" t="s">
        <v>298</v>
      </c>
      <c r="C179" s="148" t="str">
        <f>VLOOKUP(A179,'[1]mFund List'!$A$2:$B$311,2,FALSE)</f>
        <v>Alpha Diversified Income Fund</v>
      </c>
      <c r="D179" s="149"/>
      <c r="E179" s="116"/>
      <c r="F179" s="133" t="str">
        <f>_xlfn.IFNA(VLOOKUP(A179,'[1]mFund List'!$A$2:$I$200,6,FALSE),"n/a")</f>
        <v>0.34%</v>
      </c>
      <c r="G179" s="134">
        <f>_xlfn.IFNA(VLOOKUP(A179,'[1]mFund List'!$A$2:$J$200,8,FALSE)/1000000,"n/a")</f>
        <v>5.9507475792329997E-2</v>
      </c>
      <c r="H179" s="135">
        <f>_xlfn.IFNA(VLOOKUP(A179,'[1]mFund List'!$A$2:$N$200,14,FALSE)/1000000,"n/a")</f>
        <v>3.2248607434998849E-4</v>
      </c>
      <c r="I179" s="134">
        <f>_xlfn.IFNA(VLOOKUP(A179,'[1]mFund List'!$A$2:$R$200,18,FALSE)/1000000,"n/a")</f>
        <v>0</v>
      </c>
      <c r="J179" s="136" t="str">
        <f>_xlfn.IFNA(VLOOKUP(A179,[1]IRESS!$A$10:$F$875,5,FALSE),"n/a")</f>
        <v>0</v>
      </c>
      <c r="K179" s="137" t="str">
        <f>_xlfn.IFNA(VLOOKUP(A179,[1]IRESS!$A$11:$G$684,7,FALSE),"n/a")</f>
        <v>0</v>
      </c>
      <c r="L179" s="136" t="str">
        <f>_xlfn.IFNA(VLOOKUP(A179,[1]IRESS!$A$10:$F$875,4,FALSE),"n/a")</f>
        <v>0</v>
      </c>
      <c r="M179" s="138">
        <f t="shared" si="2"/>
        <v>0</v>
      </c>
      <c r="N179" s="139" t="e">
        <f>VLOOKUP(A179,[1]Spreads!$A$1:$G$87,2,FALSE)</f>
        <v>#N/A</v>
      </c>
      <c r="O179" s="137" t="e">
        <f>VLOOKUP(A179,[1]Spreads!$A$1:$G$87,5,FALSE)/1000</f>
        <v>#N/A</v>
      </c>
      <c r="P179" s="140" t="e">
        <f>VLOOKUP(A179,[1]Spreads!$A$1:$G$87,6,FALSE)/1000</f>
        <v>#N/A</v>
      </c>
      <c r="R179" s="141">
        <f>_xlfn.IFNA(VLOOKUP($A179,[1]IRESS!$A$11:$AE$696,6,FALSE)/100,"n/a")</f>
        <v>1.0148999999999999</v>
      </c>
      <c r="S179" s="117"/>
      <c r="T179" s="142" t="str">
        <f>IF(VLOOKUP($A179,[1]FE!$A$2:$G$498,3,FALSE)="N/A","n/a",IFERROR(VLOOKUP($A179,[1]FE!$A$2:$G$498,3,FALSE),"n/a"))</f>
        <v>0.14%</v>
      </c>
      <c r="U179" s="138" t="str">
        <f>IF(VLOOKUP($A179,[1]FE!$A$2:$G$498,4,FALSE)="N/A","n/a",IFERROR(VLOOKUP($A179,[1]FE!$A$2:$G$498,4,FALSE),"n/a"))</f>
        <v>-0.14%</v>
      </c>
      <c r="V179" s="142" t="str">
        <f>IF(VLOOKUP($A179,[1]FE!$A$2:$G$498,5,FALSE)="N/A","n/a",IFERROR(VLOOKUP($A179,[1]FE!$A$2:$G$498,5,FALSE),"n/a"))</f>
        <v>0.65%</v>
      </c>
      <c r="W179" s="138" t="str">
        <f>IF(VLOOKUP($A179,[1]FE!$A$2:$G$498,6,FALSE)="N/A","n/a",IFERROR(VLOOKUP($A179,[1]FE!$A$2:$G$498,6,FALSE),"n/a"))</f>
        <v>2.03%</v>
      </c>
      <c r="X179" s="142" t="str">
        <f>IF(VLOOKUP($A179,[1]FE!$A$2:$G$498,7,FALSE)="N/A","n/a",IFERROR(VLOOKUP($A179,[1]FE!$A$2:$G$498,7,FALSE),"n/a"))</f>
        <v>2.86%</v>
      </c>
    </row>
    <row r="180" spans="1:24" ht="18.75">
      <c r="A180" s="129" t="s">
        <v>458</v>
      </c>
      <c r="B180" s="130" t="s">
        <v>298</v>
      </c>
      <c r="C180" s="148" t="str">
        <f>VLOOKUP(A180,'[1]mFund List'!$A$2:$B$311,2,FALSE)</f>
        <v xml:space="preserve">JPMorgan Global Strategic Bond Fund </v>
      </c>
      <c r="D180" s="149"/>
      <c r="E180" s="116"/>
      <c r="F180" s="133" t="str">
        <f>_xlfn.IFNA(VLOOKUP(A180,'[1]mFund List'!$A$2:$I$200,6,FALSE),"n/a")</f>
        <v>0.60%</v>
      </c>
      <c r="G180" s="134">
        <f>_xlfn.IFNA(VLOOKUP(A180,'[1]mFund List'!$A$2:$J$200,8,FALSE)/1000000,"n/a")</f>
        <v>3.5029176024451201</v>
      </c>
      <c r="H180" s="135">
        <f>_xlfn.IFNA(VLOOKUP(A180,'[1]mFund List'!$A$2:$N$200,14,FALSE)/1000000,"n/a")</f>
        <v>-7.3175300255879761E-2</v>
      </c>
      <c r="I180" s="134">
        <f>_xlfn.IFNA(VLOOKUP(A180,'[1]mFund List'!$A$2:$R$200,18,FALSE)/1000000,"n/a")</f>
        <v>-7.5622284646780363E-2</v>
      </c>
      <c r="J180" s="136">
        <f>_xlfn.IFNA(VLOOKUP(A180,[1]IRESS!$A$10:$F$875,5,FALSE),"n/a")</f>
        <v>96062.75</v>
      </c>
      <c r="K180" s="137">
        <f>_xlfn.IFNA(VLOOKUP(A180,[1]IRESS!$A$11:$G$684,7,FALSE),"n/a")</f>
        <v>93321.1054</v>
      </c>
      <c r="L180" s="136">
        <f>_xlfn.IFNA(VLOOKUP(A180,[1]IRESS!$A$10:$F$875,4,FALSE),"n/a")</f>
        <v>3</v>
      </c>
      <c r="M180" s="138">
        <f t="shared" si="2"/>
        <v>2.7423639634842085E-2</v>
      </c>
      <c r="N180" s="139" t="e">
        <f>VLOOKUP(A180,[1]Spreads!$A$1:$G$87,2,FALSE)</f>
        <v>#N/A</v>
      </c>
      <c r="O180" s="137" t="e">
        <f>VLOOKUP(A180,[1]Spreads!$A$1:$G$87,5,FALSE)/1000</f>
        <v>#N/A</v>
      </c>
      <c r="P180" s="140" t="e">
        <f>VLOOKUP(A180,[1]Spreads!$A$1:$G$87,6,FALSE)/1000</f>
        <v>#N/A</v>
      </c>
      <c r="R180" s="141">
        <f>_xlfn.IFNA(VLOOKUP($A180,[1]IRESS!$A$11:$AE$696,6,FALSE)/100,"n/a")</f>
        <v>1.0237000000000001</v>
      </c>
      <c r="S180" s="117"/>
      <c r="T180" s="142" t="str">
        <f>IF(VLOOKUP($A180,[1]FE!$A$2:$G$498,3,FALSE)="N/A","n/a",IFERROR(VLOOKUP($A180,[1]FE!$A$2:$G$498,3,FALSE),"n/a"))</f>
        <v>0.07%</v>
      </c>
      <c r="U180" s="138" t="str">
        <f>IF(VLOOKUP($A180,[1]FE!$A$2:$G$498,4,FALSE)="N/A","n/a",IFERROR(VLOOKUP($A180,[1]FE!$A$2:$G$498,4,FALSE),"n/a"))</f>
        <v>-0.32%</v>
      </c>
      <c r="V180" s="142" t="str">
        <f>IF(VLOOKUP($A180,[1]FE!$A$2:$G$498,5,FALSE)="N/A","n/a",IFERROR(VLOOKUP($A180,[1]FE!$A$2:$G$498,5,FALSE),"n/a"))</f>
        <v>1.27%</v>
      </c>
      <c r="W180" s="138" t="str">
        <f>IF(VLOOKUP($A180,[1]FE!$A$2:$G$498,6,FALSE)="N/A","n/a",IFERROR(VLOOKUP($A180,[1]FE!$A$2:$G$498,6,FALSE),"n/a"))</f>
        <v>3.56%</v>
      </c>
      <c r="X180" s="142" t="str">
        <f>IF(VLOOKUP($A180,[1]FE!$A$2:$G$498,7,FALSE)="N/A","n/a",IFERROR(VLOOKUP($A180,[1]FE!$A$2:$G$498,7,FALSE),"n/a"))</f>
        <v>n/a</v>
      </c>
    </row>
    <row r="181" spans="1:24" ht="18.75">
      <c r="A181" s="129" t="s">
        <v>459</v>
      </c>
      <c r="B181" s="130" t="s">
        <v>298</v>
      </c>
      <c r="C181" s="148" t="str">
        <f>VLOOKUP(A181,'[1]mFund List'!$A$2:$B$311,2,FALSE)</f>
        <v xml:space="preserve">JPMorgan Global Bond Opportunities Fund </v>
      </c>
      <c r="D181" s="149"/>
      <c r="E181" s="116"/>
      <c r="F181" s="133" t="str">
        <f>_xlfn.IFNA(VLOOKUP(A181,'[1]mFund List'!$A$2:$I$200,6,FALSE),"n/a")</f>
        <v>0.75%</v>
      </c>
      <c r="G181" s="134">
        <f>_xlfn.IFNA(VLOOKUP(A181,'[1]mFund List'!$A$2:$J$200,8,FALSE)/1000000,"n/a")</f>
        <v>0.2351792710526</v>
      </c>
      <c r="H181" s="135">
        <f>_xlfn.IFNA(VLOOKUP(A181,'[1]mFund List'!$A$2:$N$200,14,FALSE)/1000000,"n/a")</f>
        <v>-1.0367932596000028E-3</v>
      </c>
      <c r="I181" s="134">
        <f>_xlfn.IFNA(VLOOKUP(A181,'[1]mFund List'!$A$2:$R$200,18,FALSE)/1000000,"n/a")</f>
        <v>0</v>
      </c>
      <c r="J181" s="136" t="str">
        <f>_xlfn.IFNA(VLOOKUP(A181,[1]IRESS!$A$10:$F$875,5,FALSE),"n/a")</f>
        <v>0</v>
      </c>
      <c r="K181" s="137" t="str">
        <f>_xlfn.IFNA(VLOOKUP(A181,[1]IRESS!$A$11:$G$684,7,FALSE),"n/a")</f>
        <v>0</v>
      </c>
      <c r="L181" s="136" t="str">
        <f>_xlfn.IFNA(VLOOKUP(A181,[1]IRESS!$A$10:$F$875,4,FALSE),"n/a")</f>
        <v>0</v>
      </c>
      <c r="M181" s="138">
        <f t="shared" si="2"/>
        <v>0</v>
      </c>
      <c r="N181" s="139" t="e">
        <f>VLOOKUP(A181,[1]Spreads!$A$1:$G$87,2,FALSE)</f>
        <v>#N/A</v>
      </c>
      <c r="O181" s="137" t="e">
        <f>VLOOKUP(A181,[1]Spreads!$A$1:$G$87,5,FALSE)/1000</f>
        <v>#N/A</v>
      </c>
      <c r="P181" s="140" t="e">
        <f>VLOOKUP(A181,[1]Spreads!$A$1:$G$87,6,FALSE)/1000</f>
        <v>#N/A</v>
      </c>
      <c r="R181" s="141">
        <f>_xlfn.IFNA(VLOOKUP($A181,[1]IRESS!$A$11:$AE$696,6,FALSE)/100,"n/a")</f>
        <v>0.95269999999999999</v>
      </c>
      <c r="S181" s="117"/>
      <c r="T181" s="142" t="str">
        <f>IF(VLOOKUP($A181,[1]FE!$A$2:$G$498,3,FALSE)="N/A","n/a",IFERROR(VLOOKUP($A181,[1]FE!$A$2:$G$498,3,FALSE),"n/a"))</f>
        <v>-0.44%</v>
      </c>
      <c r="U181" s="138" t="str">
        <f>IF(VLOOKUP($A181,[1]FE!$A$2:$G$498,4,FALSE)="N/A","n/a",IFERROR(VLOOKUP($A181,[1]FE!$A$2:$G$498,4,FALSE),"n/a"))</f>
        <v>-1.60%</v>
      </c>
      <c r="V181" s="142" t="str">
        <f>IF(VLOOKUP($A181,[1]FE!$A$2:$G$498,5,FALSE)="N/A","n/a",IFERROR(VLOOKUP($A181,[1]FE!$A$2:$G$498,5,FALSE),"n/a"))</f>
        <v>0.76%</v>
      </c>
      <c r="W181" s="138" t="str">
        <f>IF(VLOOKUP($A181,[1]FE!$A$2:$G$498,6,FALSE)="N/A","n/a",IFERROR(VLOOKUP($A181,[1]FE!$A$2:$G$498,6,FALSE),"n/a"))</f>
        <v>4.13%</v>
      </c>
      <c r="X181" s="142" t="str">
        <f>IF(VLOOKUP($A181,[1]FE!$A$2:$G$498,7,FALSE)="N/A","n/a",IFERROR(VLOOKUP($A181,[1]FE!$A$2:$G$498,7,FALSE),"n/a"))</f>
        <v>n/a</v>
      </c>
    </row>
    <row r="182" spans="1:24" ht="18.75">
      <c r="A182" s="129" t="s">
        <v>460</v>
      </c>
      <c r="B182" s="130" t="s">
        <v>298</v>
      </c>
      <c r="C182" s="148" t="str">
        <f>VLOOKUP(A182,'[1]mFund List'!$A$2:$B$311,2,FALSE)</f>
        <v xml:space="preserve">JPMorgan Global Bond Fund </v>
      </c>
      <c r="D182" s="149"/>
      <c r="E182" s="116"/>
      <c r="F182" s="133" t="str">
        <f>_xlfn.IFNA(VLOOKUP(A182,'[1]mFund List'!$A$2:$I$200,6,FALSE),"n/a")</f>
        <v>0.50%</v>
      </c>
      <c r="G182" s="134">
        <f>_xlfn.IFNA(VLOOKUP(A182,'[1]mFund List'!$A$2:$J$200,8,FALSE)/1000000,"n/a")</f>
        <v>0</v>
      </c>
      <c r="H182" s="135">
        <f>_xlfn.IFNA(VLOOKUP(A182,'[1]mFund List'!$A$2:$N$200,14,FALSE)/1000000,"n/a")</f>
        <v>0</v>
      </c>
      <c r="I182" s="134">
        <f>_xlfn.IFNA(VLOOKUP(A182,'[1]mFund List'!$A$2:$R$200,18,FALSE)/1000000,"n/a")</f>
        <v>0</v>
      </c>
      <c r="J182" s="136" t="str">
        <f>_xlfn.IFNA(VLOOKUP(A182,[1]IRESS!$A$10:$F$875,5,FALSE),"n/a")</f>
        <v>0</v>
      </c>
      <c r="K182" s="137" t="str">
        <f>_xlfn.IFNA(VLOOKUP(A182,[1]IRESS!$A$11:$G$684,7,FALSE),"n/a")</f>
        <v>0</v>
      </c>
      <c r="L182" s="136" t="str">
        <f>_xlfn.IFNA(VLOOKUP(A182,[1]IRESS!$A$10:$F$875,4,FALSE),"n/a")</f>
        <v>0</v>
      </c>
      <c r="M182" s="138" t="e">
        <f t="shared" si="2"/>
        <v>#DIV/0!</v>
      </c>
      <c r="N182" s="139" t="e">
        <f>VLOOKUP(A182,[1]Spreads!$A$1:$G$87,2,FALSE)</f>
        <v>#N/A</v>
      </c>
      <c r="O182" s="137" t="e">
        <f>VLOOKUP(A182,[1]Spreads!$A$1:$G$87,5,FALSE)/1000</f>
        <v>#N/A</v>
      </c>
      <c r="P182" s="140" t="e">
        <f>VLOOKUP(A182,[1]Spreads!$A$1:$G$87,6,FALSE)/1000</f>
        <v>#N/A</v>
      </c>
      <c r="R182" s="141">
        <f>_xlfn.IFNA(VLOOKUP($A182,[1]IRESS!$A$11:$AE$696,6,FALSE)/100,"n/a")</f>
        <v>0.99590000000000001</v>
      </c>
      <c r="S182" s="117"/>
      <c r="T182" s="142" t="str">
        <f>IF(VLOOKUP($A182,[1]FE!$A$2:$G$498,3,FALSE)="N/A","n/a",IFERROR(VLOOKUP($A182,[1]FE!$A$2:$G$498,3,FALSE),"n/a"))</f>
        <v>0.00%</v>
      </c>
      <c r="U182" s="138" t="str">
        <f>IF(VLOOKUP($A182,[1]FE!$A$2:$G$498,4,FALSE)="N/A","n/a",IFERROR(VLOOKUP($A182,[1]FE!$A$2:$G$498,4,FALSE),"n/a"))</f>
        <v>-0.38%</v>
      </c>
      <c r="V182" s="142" t="str">
        <f>IF(VLOOKUP($A182,[1]FE!$A$2:$G$498,5,FALSE)="N/A","n/a",IFERROR(VLOOKUP($A182,[1]FE!$A$2:$G$498,5,FALSE),"n/a"))</f>
        <v>0.77%</v>
      </c>
      <c r="W182" s="138" t="str">
        <f>IF(VLOOKUP($A182,[1]FE!$A$2:$G$498,6,FALSE)="N/A","n/a",IFERROR(VLOOKUP($A182,[1]FE!$A$2:$G$498,6,FALSE),"n/a"))</f>
        <v>n/a</v>
      </c>
      <c r="X182" s="142" t="str">
        <f>IF(VLOOKUP($A182,[1]FE!$A$2:$G$498,7,FALSE)="N/A","n/a",IFERROR(VLOOKUP($A182,[1]FE!$A$2:$G$498,7,FALSE),"n/a"))</f>
        <v>n/a</v>
      </c>
    </row>
    <row r="183" spans="1:24" ht="18.75">
      <c r="A183" s="129" t="s">
        <v>461</v>
      </c>
      <c r="B183" s="130" t="s">
        <v>298</v>
      </c>
      <c r="C183" s="148" t="str">
        <f>VLOOKUP(A183,'[1]mFund List'!$A$2:$B$311,2,FALSE)</f>
        <v>Kapstream Absolute Return Income Fund</v>
      </c>
      <c r="D183" s="149"/>
      <c r="E183" s="116"/>
      <c r="F183" s="133" t="str">
        <f>_xlfn.IFNA(VLOOKUP(A183,'[1]mFund List'!$A$2:$I$200,6,FALSE),"n/a")</f>
        <v>0.70%</v>
      </c>
      <c r="G183" s="134">
        <f>_xlfn.IFNA(VLOOKUP(A183,'[1]mFund List'!$A$2:$J$200,8,FALSE)/1000000,"n/a")</f>
        <v>27.308452801155752</v>
      </c>
      <c r="H183" s="135">
        <f>_xlfn.IFNA(VLOOKUP(A183,'[1]mFund List'!$A$2:$N$200,14,FALSE)/1000000,"n/a")</f>
        <v>1.3232106780122519</v>
      </c>
      <c r="I183" s="134">
        <f>_xlfn.IFNA(VLOOKUP(A183,'[1]mFund List'!$A$2:$R$200,18,FALSE)/1000000,"n/a")</f>
        <v>1.2805244486518521</v>
      </c>
      <c r="J183" s="136">
        <f>_xlfn.IFNA(VLOOKUP(A183,[1]IRESS!$A$10:$F$875,5,FALSE),"n/a")</f>
        <v>2596323.59</v>
      </c>
      <c r="K183" s="137">
        <f>_xlfn.IFNA(VLOOKUP(A183,[1]IRESS!$A$11:$G$684,7,FALSE),"n/a")</f>
        <v>2131363.8424000004</v>
      </c>
      <c r="L183" s="136">
        <f>_xlfn.IFNA(VLOOKUP(A183,[1]IRESS!$A$10:$F$875,4,FALSE),"n/a")</f>
        <v>36</v>
      </c>
      <c r="M183" s="138">
        <f t="shared" si="2"/>
        <v>9.5073990786109924E-2</v>
      </c>
      <c r="N183" s="139" t="e">
        <f>VLOOKUP(A183,[1]Spreads!$A$1:$G$87,2,FALSE)</f>
        <v>#N/A</v>
      </c>
      <c r="O183" s="137" t="e">
        <f>VLOOKUP(A183,[1]Spreads!$A$1:$G$87,5,FALSE)/1000</f>
        <v>#N/A</v>
      </c>
      <c r="P183" s="140" t="e">
        <f>VLOOKUP(A183,[1]Spreads!$A$1:$G$87,6,FALSE)/1000</f>
        <v>#N/A</v>
      </c>
      <c r="R183" s="141">
        <f>_xlfn.IFNA(VLOOKUP($A183,[1]IRESS!$A$11:$AE$696,6,FALSE)/100,"n/a")</f>
        <v>1.2195</v>
      </c>
      <c r="S183" s="117"/>
      <c r="T183" s="142" t="str">
        <f>IF(VLOOKUP($A183,[1]FE!$A$2:$G$498,3,FALSE)="N/A","n/a",IFERROR(VLOOKUP($A183,[1]FE!$A$2:$G$498,3,FALSE),"n/a"))</f>
        <v>0.16%</v>
      </c>
      <c r="U183" s="138" t="str">
        <f>IF(VLOOKUP($A183,[1]FE!$A$2:$G$498,4,FALSE)="N/A","n/a",IFERROR(VLOOKUP($A183,[1]FE!$A$2:$G$498,4,FALSE),"n/a"))</f>
        <v>0.48%</v>
      </c>
      <c r="V183" s="142" t="str">
        <f>IF(VLOOKUP($A183,[1]FE!$A$2:$G$498,5,FALSE)="N/A","n/a",IFERROR(VLOOKUP($A183,[1]FE!$A$2:$G$498,5,FALSE),"n/a"))</f>
        <v>2.69%</v>
      </c>
      <c r="W183" s="138" t="str">
        <f>IF(VLOOKUP($A183,[1]FE!$A$2:$G$498,6,FALSE)="N/A","n/a",IFERROR(VLOOKUP($A183,[1]FE!$A$2:$G$498,6,FALSE),"n/a"))</f>
        <v>2.84%</v>
      </c>
      <c r="X183" s="142" t="str">
        <f>IF(VLOOKUP($A183,[1]FE!$A$2:$G$498,7,FALSE)="N/A","n/a",IFERROR(VLOOKUP($A183,[1]FE!$A$2:$G$498,7,FALSE),"n/a"))</f>
        <v>3.43%</v>
      </c>
    </row>
    <row r="184" spans="1:24" ht="18.75">
      <c r="A184" s="129" t="s">
        <v>462</v>
      </c>
      <c r="B184" s="130" t="s">
        <v>298</v>
      </c>
      <c r="C184" s="148" t="str">
        <f>VLOOKUP(A184,'[1]mFund List'!$A$2:$B$311,2,FALSE)</f>
        <v>Legg Mason Brandywine Global Opportunistic Fixed Income Trust A</v>
      </c>
      <c r="D184" s="149"/>
      <c r="E184" s="116"/>
      <c r="F184" s="133" t="str">
        <f>_xlfn.IFNA(VLOOKUP(A184,'[1]mFund List'!$A$2:$I$200,6,FALSE),"n/a")</f>
        <v>0.70%</v>
      </c>
      <c r="G184" s="134">
        <f>_xlfn.IFNA(VLOOKUP(A184,'[1]mFund List'!$A$2:$J$200,8,FALSE)/1000000,"n/a")</f>
        <v>14.970023848547472</v>
      </c>
      <c r="H184" s="135">
        <f>_xlfn.IFNA(VLOOKUP(A184,'[1]mFund List'!$A$2:$N$200,14,FALSE)/1000000,"n/a")</f>
        <v>-0.61657824718961496</v>
      </c>
      <c r="I184" s="134">
        <f>_xlfn.IFNA(VLOOKUP(A184,'[1]mFund List'!$A$2:$R$200,18,FALSE)/1000000,"n/a")</f>
        <v>-0.54612974707032014</v>
      </c>
      <c r="J184" s="136">
        <f>_xlfn.IFNA(VLOOKUP(A184,[1]IRESS!$A$10:$F$875,5,FALSE),"n/a")</f>
        <v>706902.39999999991</v>
      </c>
      <c r="K184" s="137">
        <f>_xlfn.IFNA(VLOOKUP(A184,[1]IRESS!$A$11:$G$684,7,FALSE),"n/a")</f>
        <v>584069.55100000009</v>
      </c>
      <c r="L184" s="136">
        <f>_xlfn.IFNA(VLOOKUP(A184,[1]IRESS!$A$10:$F$875,4,FALSE),"n/a")</f>
        <v>8</v>
      </c>
      <c r="M184" s="138">
        <f t="shared" si="2"/>
        <v>4.7221193977495905E-2</v>
      </c>
      <c r="N184" s="139" t="e">
        <f>VLOOKUP(A184,[1]Spreads!$A$1:$G$87,2,FALSE)</f>
        <v>#N/A</v>
      </c>
      <c r="O184" s="137" t="e">
        <f>VLOOKUP(A184,[1]Spreads!$A$1:$G$87,5,FALSE)/1000</f>
        <v>#N/A</v>
      </c>
      <c r="P184" s="140" t="e">
        <f>VLOOKUP(A184,[1]Spreads!$A$1:$G$87,6,FALSE)/1000</f>
        <v>#N/A</v>
      </c>
      <c r="R184" s="141">
        <f>_xlfn.IFNA(VLOOKUP($A184,[1]IRESS!$A$11:$AE$696,6,FALSE)/100,"n/a")</f>
        <v>1.20696</v>
      </c>
      <c r="S184" s="117"/>
      <c r="T184" s="142" t="str">
        <f>IF(VLOOKUP($A184,[1]FE!$A$2:$G$498,3,FALSE)="N/A","n/a",IFERROR(VLOOKUP($A184,[1]FE!$A$2:$G$498,3,FALSE),"n/a"))</f>
        <v>-0.45%</v>
      </c>
      <c r="U184" s="138" t="str">
        <f>IF(VLOOKUP($A184,[1]FE!$A$2:$G$498,4,FALSE)="N/A","n/a",IFERROR(VLOOKUP($A184,[1]FE!$A$2:$G$498,4,FALSE),"n/a"))</f>
        <v>-3.47%</v>
      </c>
      <c r="V184" s="142" t="str">
        <f>IF(VLOOKUP($A184,[1]FE!$A$2:$G$498,5,FALSE)="N/A","n/a",IFERROR(VLOOKUP($A184,[1]FE!$A$2:$G$498,5,FALSE),"n/a"))</f>
        <v>-0.98%</v>
      </c>
      <c r="W184" s="138" t="str">
        <f>IF(VLOOKUP($A184,[1]FE!$A$2:$G$498,6,FALSE)="N/A","n/a",IFERROR(VLOOKUP($A184,[1]FE!$A$2:$G$498,6,FALSE),"n/a"))</f>
        <v>3.00%</v>
      </c>
      <c r="X184" s="142" t="str">
        <f>IF(VLOOKUP($A184,[1]FE!$A$2:$G$498,7,FALSE)="N/A","n/a",IFERROR(VLOOKUP($A184,[1]FE!$A$2:$G$498,7,FALSE),"n/a"))</f>
        <v>4.68%</v>
      </c>
    </row>
    <row r="185" spans="1:24" ht="18.75">
      <c r="A185" s="129" t="s">
        <v>463</v>
      </c>
      <c r="B185" s="130" t="s">
        <v>298</v>
      </c>
      <c r="C185" s="148" t="str">
        <f>VLOOKUP(A185,'[1]mFund List'!$A$2:$B$311,2,FALSE)</f>
        <v>Schroder Fixed Income Wholesale</v>
      </c>
      <c r="D185" s="149"/>
      <c r="E185" s="116"/>
      <c r="F185" s="133" t="str">
        <f>_xlfn.IFNA(VLOOKUP(A185,'[1]mFund List'!$A$2:$I$200,6,FALSE),"n/a")</f>
        <v>0.50%</v>
      </c>
      <c r="G185" s="134">
        <f>_xlfn.IFNA(VLOOKUP(A185,'[1]mFund List'!$A$2:$J$200,8,FALSE)/1000000,"n/a")</f>
        <v>12.860107951385601</v>
      </c>
      <c r="H185" s="135">
        <f>_xlfn.IFNA(VLOOKUP(A185,'[1]mFund List'!$A$2:$N$200,14,FALSE)/1000000,"n/a")</f>
        <v>-1.6916783592559788</v>
      </c>
      <c r="I185" s="134">
        <f>_xlfn.IFNA(VLOOKUP(A185,'[1]mFund List'!$A$2:$R$200,18,FALSE)/1000000,"n/a")</f>
        <v>-1.7602111048319999</v>
      </c>
      <c r="J185" s="136">
        <f>_xlfn.IFNA(VLOOKUP(A185,[1]IRESS!$A$10:$F$875,5,FALSE),"n/a")</f>
        <v>2574805.0100000002</v>
      </c>
      <c r="K185" s="137">
        <f>_xlfn.IFNA(VLOOKUP(A185,[1]IRESS!$A$11:$G$684,7,FALSE),"n/a")</f>
        <v>2383244.7609000001</v>
      </c>
      <c r="L185" s="136">
        <f>_xlfn.IFNA(VLOOKUP(A185,[1]IRESS!$A$10:$F$875,4,FALSE),"n/a")</f>
        <v>20</v>
      </c>
      <c r="M185" s="138">
        <f t="shared" si="2"/>
        <v>0.20021643828600835</v>
      </c>
      <c r="N185" s="139" t="e">
        <f>VLOOKUP(A185,[1]Spreads!$A$1:$G$87,2,FALSE)</f>
        <v>#N/A</v>
      </c>
      <c r="O185" s="137" t="e">
        <f>VLOOKUP(A185,[1]Spreads!$A$1:$G$87,5,FALSE)/1000</f>
        <v>#N/A</v>
      </c>
      <c r="P185" s="140" t="e">
        <f>VLOOKUP(A185,[1]Spreads!$A$1:$G$87,6,FALSE)/1000</f>
        <v>#N/A</v>
      </c>
      <c r="R185" s="141">
        <f>_xlfn.IFNA(VLOOKUP($A185,[1]IRESS!$A$11:$AE$696,6,FALSE)/100,"n/a")</f>
        <v>1.0880000000000001</v>
      </c>
      <c r="S185" s="117"/>
      <c r="T185" s="142" t="str">
        <f>IF(VLOOKUP($A185,[1]FE!$A$2:$G$498,3,FALSE)="N/A","n/a",IFERROR(VLOOKUP($A185,[1]FE!$A$2:$G$498,3,FALSE),"n/a"))</f>
        <v>0.47%</v>
      </c>
      <c r="U185" s="138" t="str">
        <f>IF(VLOOKUP($A185,[1]FE!$A$2:$G$498,4,FALSE)="N/A","n/a",IFERROR(VLOOKUP($A185,[1]FE!$A$2:$G$498,4,FALSE),"n/a"))</f>
        <v>0.77%</v>
      </c>
      <c r="V185" s="142" t="str">
        <f>IF(VLOOKUP($A185,[1]FE!$A$2:$G$498,5,FALSE)="N/A","n/a",IFERROR(VLOOKUP($A185,[1]FE!$A$2:$G$498,5,FALSE),"n/a"))</f>
        <v>2.72%</v>
      </c>
      <c r="W185" s="138" t="str">
        <f>IF(VLOOKUP($A185,[1]FE!$A$2:$G$498,6,FALSE)="N/A","n/a",IFERROR(VLOOKUP($A185,[1]FE!$A$2:$G$498,6,FALSE),"n/a"))</f>
        <v>2.80%</v>
      </c>
      <c r="X185" s="142" t="str">
        <f>IF(VLOOKUP($A185,[1]FE!$A$2:$G$498,7,FALSE)="N/A","n/a",IFERROR(VLOOKUP($A185,[1]FE!$A$2:$G$498,7,FALSE),"n/a"))</f>
        <v>3.59%</v>
      </c>
    </row>
    <row r="186" spans="1:24" ht="18.75">
      <c r="A186" s="129" t="s">
        <v>464</v>
      </c>
      <c r="B186" s="130" t="s">
        <v>298</v>
      </c>
      <c r="C186" s="148" t="str">
        <f>VLOOKUP(A186,'[1]mFund List'!$A$2:$B$311,2,FALSE)</f>
        <v>Spectrum Strategic Income</v>
      </c>
      <c r="D186" s="149"/>
      <c r="E186" s="116"/>
      <c r="F186" s="133" t="str">
        <f>_xlfn.IFNA(VLOOKUP(A186,'[1]mFund List'!$A$2:$I$200,6,FALSE),"n/a")</f>
        <v>0.75%</v>
      </c>
      <c r="G186" s="134">
        <f>_xlfn.IFNA(VLOOKUP(A186,'[1]mFund List'!$A$2:$J$200,8,FALSE)/1000000,"n/a")</f>
        <v>2.59844303609264</v>
      </c>
      <c r="H186" s="135">
        <f>_xlfn.IFNA(VLOOKUP(A186,'[1]mFund List'!$A$2:$N$200,14,FALSE)/1000000,"n/a")</f>
        <v>-0.20140883738749008</v>
      </c>
      <c r="I186" s="134">
        <f>_xlfn.IFNA(VLOOKUP(A186,'[1]mFund List'!$A$2:$R$200,18,FALSE)/1000000,"n/a")</f>
        <v>0</v>
      </c>
      <c r="J186" s="136">
        <f>_xlfn.IFNA(VLOOKUP(A186,[1]IRESS!$A$10:$F$875,5,FALSE),"n/a")</f>
        <v>323070.39</v>
      </c>
      <c r="K186" s="137">
        <f>_xlfn.IFNA(VLOOKUP(A186,[1]IRESS!$A$11:$G$684,7,FALSE),"n/a")</f>
        <v>301525.30170000001</v>
      </c>
      <c r="L186" s="136">
        <f>_xlfn.IFNA(VLOOKUP(A186,[1]IRESS!$A$10:$F$875,4,FALSE),"n/a")</f>
        <v>4</v>
      </c>
      <c r="M186" s="138">
        <f t="shared" si="2"/>
        <v>0.12433229649929561</v>
      </c>
      <c r="N186" s="139" t="e">
        <f>VLOOKUP(A186,[1]Spreads!$A$1:$G$87,2,FALSE)</f>
        <v>#N/A</v>
      </c>
      <c r="O186" s="137" t="e">
        <f>VLOOKUP(A186,[1]Spreads!$A$1:$G$87,5,FALSE)/1000</f>
        <v>#N/A</v>
      </c>
      <c r="P186" s="140" t="e">
        <f>VLOOKUP(A186,[1]Spreads!$A$1:$G$87,6,FALSE)/1000</f>
        <v>#N/A</v>
      </c>
      <c r="R186" s="141">
        <f>_xlfn.IFNA(VLOOKUP($A186,[1]IRESS!$A$11:$AE$696,6,FALSE)/100,"n/a")</f>
        <v>1.0729</v>
      </c>
      <c r="S186" s="117"/>
      <c r="T186" s="142" t="str">
        <f>IF(VLOOKUP($A186,[1]FE!$A$2:$G$498,3,FALSE)="N/A","n/a",IFERROR(VLOOKUP($A186,[1]FE!$A$2:$G$498,3,FALSE),"n/a"))</f>
        <v>0.41%</v>
      </c>
      <c r="U186" s="138" t="str">
        <f>IF(VLOOKUP($A186,[1]FE!$A$2:$G$498,4,FALSE)="N/A","n/a",IFERROR(VLOOKUP($A186,[1]FE!$A$2:$G$498,4,FALSE),"n/a"))</f>
        <v>0.79%</v>
      </c>
      <c r="V186" s="142" t="str">
        <f>IF(VLOOKUP($A186,[1]FE!$A$2:$G$498,5,FALSE)="N/A","n/a",IFERROR(VLOOKUP($A186,[1]FE!$A$2:$G$498,5,FALSE),"n/a"))</f>
        <v>4.12%</v>
      </c>
      <c r="W186" s="138" t="str">
        <f>IF(VLOOKUP($A186,[1]FE!$A$2:$G$498,6,FALSE)="N/A","n/a",IFERROR(VLOOKUP($A186,[1]FE!$A$2:$G$498,6,FALSE),"n/a"))</f>
        <v>4.68%</v>
      </c>
      <c r="X186" s="142" t="str">
        <f>IF(VLOOKUP($A186,[1]FE!$A$2:$G$498,7,FALSE)="N/A","n/a",IFERROR(VLOOKUP($A186,[1]FE!$A$2:$G$498,7,FALSE),"n/a"))</f>
        <v>5.34%</v>
      </c>
    </row>
    <row r="187" spans="1:24" ht="18.75">
      <c r="A187" s="129" t="s">
        <v>465</v>
      </c>
      <c r="B187" s="130" t="s">
        <v>298</v>
      </c>
      <c r="C187" s="148" t="str">
        <f>VLOOKUP(A187,'[1]mFund List'!$A$2:$B$311,2,FALSE)</f>
        <v>PIMCO Global Credit Fund Wholesale Class</v>
      </c>
      <c r="D187" s="149"/>
      <c r="E187" s="116"/>
      <c r="F187" s="133" t="str">
        <f>_xlfn.IFNA(VLOOKUP(A187,'[1]mFund List'!$A$2:$I$200,6,FALSE),"n/a")</f>
        <v>0.61%</v>
      </c>
      <c r="G187" s="134">
        <f>_xlfn.IFNA(VLOOKUP(A187,'[1]mFund List'!$A$2:$J$200,8,FALSE)/1000000,"n/a")</f>
        <v>13.358160526631401</v>
      </c>
      <c r="H187" s="135">
        <f>_xlfn.IFNA(VLOOKUP(A187,'[1]mFund List'!$A$2:$N$200,14,FALSE)/1000000,"n/a")</f>
        <v>0.13067760397398098</v>
      </c>
      <c r="I187" s="134">
        <f>_xlfn.IFNA(VLOOKUP(A187,'[1]mFund List'!$A$2:$R$200,18,FALSE)/1000000,"n/a")</f>
        <v>0.13067760397397968</v>
      </c>
      <c r="J187" s="136">
        <f>_xlfn.IFNA(VLOOKUP(A187,[1]IRESS!$A$10:$F$875,5,FALSE),"n/a")</f>
        <v>1166407.3700000001</v>
      </c>
      <c r="K187" s="137">
        <f>_xlfn.IFNA(VLOOKUP(A187,[1]IRESS!$A$11:$G$684,7,FALSE),"n/a")</f>
        <v>1190963.6897999998</v>
      </c>
      <c r="L187" s="136">
        <f>_xlfn.IFNA(VLOOKUP(A187,[1]IRESS!$A$10:$F$875,4,FALSE),"n/a")</f>
        <v>17</v>
      </c>
      <c r="M187" s="138">
        <f t="shared" si="2"/>
        <v>8.7317963253593214E-2</v>
      </c>
      <c r="N187" s="139" t="e">
        <f>VLOOKUP(A187,[1]Spreads!$A$1:$G$87,2,FALSE)</f>
        <v>#N/A</v>
      </c>
      <c r="O187" s="137" t="e">
        <f>VLOOKUP(A187,[1]Spreads!$A$1:$G$87,5,FALSE)/1000</f>
        <v>#N/A</v>
      </c>
      <c r="P187" s="140" t="e">
        <f>VLOOKUP(A187,[1]Spreads!$A$1:$G$87,6,FALSE)/1000</f>
        <v>#N/A</v>
      </c>
      <c r="R187" s="141">
        <f>_xlfn.IFNA(VLOOKUP($A187,[1]IRESS!$A$11:$AE$696,6,FALSE)/100,"n/a")</f>
        <v>0.98030000000000006</v>
      </c>
      <c r="S187" s="117"/>
      <c r="T187" s="142" t="str">
        <f>IF(VLOOKUP($A187,[1]FE!$A$2:$G$498,3,FALSE)="N/A","n/a",IFERROR(VLOOKUP($A187,[1]FE!$A$2:$G$498,3,FALSE),"n/a"))</f>
        <v>0.00%</v>
      </c>
      <c r="U187" s="138" t="str">
        <f>IF(VLOOKUP($A187,[1]FE!$A$2:$G$498,4,FALSE)="N/A","n/a",IFERROR(VLOOKUP($A187,[1]FE!$A$2:$G$498,4,FALSE),"n/a"))</f>
        <v>-0.13%</v>
      </c>
      <c r="V187" s="142" t="str">
        <f>IF(VLOOKUP($A187,[1]FE!$A$2:$G$498,5,FALSE)="N/A","n/a",IFERROR(VLOOKUP($A187,[1]FE!$A$2:$G$498,5,FALSE),"n/a"))</f>
        <v>1.05%</v>
      </c>
      <c r="W187" s="138" t="str">
        <f>IF(VLOOKUP($A187,[1]FE!$A$2:$G$498,6,FALSE)="N/A","n/a",IFERROR(VLOOKUP($A187,[1]FE!$A$2:$G$498,6,FALSE),"n/a"))</f>
        <v>3.91%</v>
      </c>
      <c r="X187" s="142" t="str">
        <f>IF(VLOOKUP($A187,[1]FE!$A$2:$G$498,7,FALSE)="N/A","n/a",IFERROR(VLOOKUP($A187,[1]FE!$A$2:$G$498,7,FALSE),"n/a"))</f>
        <v>4.95%</v>
      </c>
    </row>
    <row r="188" spans="1:24" ht="18.75">
      <c r="A188" s="129" t="s">
        <v>466</v>
      </c>
      <c r="B188" s="130" t="s">
        <v>298</v>
      </c>
      <c r="C188" s="148" t="str">
        <f>VLOOKUP(A188,'[1]mFund List'!$A$2:$B$311,2,FALSE)</f>
        <v>PIMCO Diversified Fixed Interest Fund Wholesale Class</v>
      </c>
      <c r="D188" s="149"/>
      <c r="E188" s="116"/>
      <c r="F188" s="133" t="str">
        <f>_xlfn.IFNA(VLOOKUP(A188,'[1]mFund List'!$A$2:$I$200,6,FALSE),"n/a")</f>
        <v>0.51%</v>
      </c>
      <c r="G188" s="134">
        <f>_xlfn.IFNA(VLOOKUP(A188,'[1]mFund List'!$A$2:$J$200,8,FALSE)/1000000,"n/a")</f>
        <v>29.7060332800996</v>
      </c>
      <c r="H188" s="135">
        <f>_xlfn.IFNA(VLOOKUP(A188,'[1]mFund List'!$A$2:$N$200,14,FALSE)/1000000,"n/a")</f>
        <v>1.8908387170843557</v>
      </c>
      <c r="I188" s="134">
        <f>_xlfn.IFNA(VLOOKUP(A188,'[1]mFund List'!$A$2:$R$200,18,FALSE)/1000000,"n/a")</f>
        <v>1.8102632858259975</v>
      </c>
      <c r="J188" s="136">
        <f>_xlfn.IFNA(VLOOKUP(A188,[1]IRESS!$A$10:$F$875,5,FALSE),"n/a")</f>
        <v>1856378.23</v>
      </c>
      <c r="K188" s="137">
        <f>_xlfn.IFNA(VLOOKUP(A188,[1]IRESS!$A$11:$G$684,7,FALSE),"n/a")</f>
        <v>1854323.4833000002</v>
      </c>
      <c r="L188" s="136">
        <f>_xlfn.IFNA(VLOOKUP(A188,[1]IRESS!$A$10:$F$875,4,FALSE),"n/a")</f>
        <v>28</v>
      </c>
      <c r="M188" s="138">
        <f t="shared" si="2"/>
        <v>6.2491622913639168E-2</v>
      </c>
      <c r="N188" s="139" t="e">
        <f>VLOOKUP(A188,[1]Spreads!$A$1:$G$87,2,FALSE)</f>
        <v>#N/A</v>
      </c>
      <c r="O188" s="137" t="e">
        <f>VLOOKUP(A188,[1]Spreads!$A$1:$G$87,5,FALSE)/1000</f>
        <v>#N/A</v>
      </c>
      <c r="P188" s="140" t="e">
        <f>VLOOKUP(A188,[1]Spreads!$A$1:$G$87,6,FALSE)/1000</f>
        <v>#N/A</v>
      </c>
      <c r="R188" s="141">
        <f>_xlfn.IFNA(VLOOKUP($A188,[1]IRESS!$A$11:$AE$696,6,FALSE)/100,"n/a")</f>
        <v>1.004</v>
      </c>
      <c r="S188" s="117"/>
      <c r="T188" s="142" t="str">
        <f>IF(VLOOKUP($A188,[1]FE!$A$2:$G$498,3,FALSE)="N/A","n/a",IFERROR(VLOOKUP($A188,[1]FE!$A$2:$G$498,3,FALSE),"n/a"))</f>
        <v>0.29%</v>
      </c>
      <c r="U188" s="138" t="str">
        <f>IF(VLOOKUP($A188,[1]FE!$A$2:$G$498,4,FALSE)="N/A","n/a",IFERROR(VLOOKUP($A188,[1]FE!$A$2:$G$498,4,FALSE),"n/a"))</f>
        <v>0.27%</v>
      </c>
      <c r="V188" s="142" t="str">
        <f>IF(VLOOKUP($A188,[1]FE!$A$2:$G$498,5,FALSE)="N/A","n/a",IFERROR(VLOOKUP($A188,[1]FE!$A$2:$G$498,5,FALSE),"n/a"))</f>
        <v>2.52%</v>
      </c>
      <c r="W188" s="138" t="str">
        <f>IF(VLOOKUP($A188,[1]FE!$A$2:$G$498,6,FALSE)="N/A","n/a",IFERROR(VLOOKUP($A188,[1]FE!$A$2:$G$498,6,FALSE),"n/a"))</f>
        <v>3.98%</v>
      </c>
      <c r="X188" s="142" t="str">
        <f>IF(VLOOKUP($A188,[1]FE!$A$2:$G$498,7,FALSE)="N/A","n/a",IFERROR(VLOOKUP($A188,[1]FE!$A$2:$G$498,7,FALSE),"n/a"))</f>
        <v>4.92%</v>
      </c>
    </row>
    <row r="189" spans="1:24" ht="18.75">
      <c r="A189" s="129" t="s">
        <v>467</v>
      </c>
      <c r="B189" s="130" t="s">
        <v>298</v>
      </c>
      <c r="C189" s="148" t="str">
        <f>VLOOKUP(A189,'[1]mFund List'!$A$2:$B$311,2,FALSE)</f>
        <v>PIMCO Global Bond Fund Wholesale Class</v>
      </c>
      <c r="D189" s="149"/>
      <c r="E189" s="116"/>
      <c r="F189" s="133" t="str">
        <f>_xlfn.IFNA(VLOOKUP(A189,'[1]mFund List'!$A$2:$I$200,6,FALSE),"n/a")</f>
        <v>0.49%</v>
      </c>
      <c r="G189" s="134">
        <f>_xlfn.IFNA(VLOOKUP(A189,'[1]mFund List'!$A$2:$J$200,8,FALSE)/1000000,"n/a")</f>
        <v>29.393119064527141</v>
      </c>
      <c r="H189" s="135">
        <f>_xlfn.IFNA(VLOOKUP(A189,'[1]mFund List'!$A$2:$N$200,14,FALSE)/1000000,"n/a")</f>
        <v>0.36691526963252202</v>
      </c>
      <c r="I189" s="134">
        <f>_xlfn.IFNA(VLOOKUP(A189,'[1]mFund List'!$A$2:$R$200,18,FALSE)/1000000,"n/a")</f>
        <v>0.31164942414669988</v>
      </c>
      <c r="J189" s="136">
        <f>_xlfn.IFNA(VLOOKUP(A189,[1]IRESS!$A$10:$F$875,5,FALSE),"n/a")</f>
        <v>1068237.69</v>
      </c>
      <c r="K189" s="137">
        <f>_xlfn.IFNA(VLOOKUP(A189,[1]IRESS!$A$11:$G$684,7,FALSE),"n/a")</f>
        <v>1071531.2122000002</v>
      </c>
      <c r="L189" s="136">
        <f>_xlfn.IFNA(VLOOKUP(A189,[1]IRESS!$A$10:$F$875,4,FALSE),"n/a")</f>
        <v>26</v>
      </c>
      <c r="M189" s="138">
        <f t="shared" si="2"/>
        <v>3.6343121247353241E-2</v>
      </c>
      <c r="N189" s="139" t="e">
        <f>VLOOKUP(A189,[1]Spreads!$A$1:$G$87,2,FALSE)</f>
        <v>#N/A</v>
      </c>
      <c r="O189" s="137" t="e">
        <f>VLOOKUP(A189,[1]Spreads!$A$1:$G$87,5,FALSE)/1000</f>
        <v>#N/A</v>
      </c>
      <c r="P189" s="140" t="e">
        <f>VLOOKUP(A189,[1]Spreads!$A$1:$G$87,6,FALSE)/1000</f>
        <v>#N/A</v>
      </c>
      <c r="R189" s="141">
        <f>_xlfn.IFNA(VLOOKUP($A189,[1]IRESS!$A$11:$AE$696,6,FALSE)/100,"n/a")</f>
        <v>0.99980000000000002</v>
      </c>
      <c r="S189" s="117"/>
      <c r="T189" s="142" t="str">
        <f>IF(VLOOKUP($A189,[1]FE!$A$2:$G$498,3,FALSE)="N/A","n/a",IFERROR(VLOOKUP($A189,[1]FE!$A$2:$G$498,3,FALSE),"n/a"))</f>
        <v>0.19%</v>
      </c>
      <c r="U189" s="138" t="str">
        <f>IF(VLOOKUP($A189,[1]FE!$A$2:$G$498,4,FALSE)="N/A","n/a",IFERROR(VLOOKUP($A189,[1]FE!$A$2:$G$498,4,FALSE),"n/a"))</f>
        <v>0.08%</v>
      </c>
      <c r="V189" s="142" t="str">
        <f>IF(VLOOKUP($A189,[1]FE!$A$2:$G$498,5,FALSE)="N/A","n/a",IFERROR(VLOOKUP($A189,[1]FE!$A$2:$G$498,5,FALSE),"n/a"))</f>
        <v>2.34%</v>
      </c>
      <c r="W189" s="138" t="str">
        <f>IF(VLOOKUP($A189,[1]FE!$A$2:$G$498,6,FALSE)="N/A","n/a",IFERROR(VLOOKUP($A189,[1]FE!$A$2:$G$498,6,FALSE),"n/a"))</f>
        <v>4.66%</v>
      </c>
      <c r="X189" s="142" t="str">
        <f>IF(VLOOKUP($A189,[1]FE!$A$2:$G$498,7,FALSE)="N/A","n/a",IFERROR(VLOOKUP($A189,[1]FE!$A$2:$G$498,7,FALSE),"n/a"))</f>
        <v>5.69%</v>
      </c>
    </row>
    <row r="190" spans="1:24" ht="18.75">
      <c r="A190" s="129" t="s">
        <v>468</v>
      </c>
      <c r="B190" s="130" t="s">
        <v>298</v>
      </c>
      <c r="C190" s="148" t="str">
        <f>VLOOKUP(A190,'[1]mFund List'!$A$2:$B$311,2,FALSE)</f>
        <v>PIMCO Unconstrained Bond Fund Wholesale Class</v>
      </c>
      <c r="D190" s="149"/>
      <c r="E190" s="116"/>
      <c r="F190" s="133" t="str">
        <f>_xlfn.IFNA(VLOOKUP(A190,'[1]mFund List'!$A$2:$I$200,6,FALSE),"n/a")</f>
        <v>0.95%</v>
      </c>
      <c r="G190" s="134">
        <f>_xlfn.IFNA(VLOOKUP(A190,'[1]mFund List'!$A$2:$J$200,8,FALSE)/1000000,"n/a")</f>
        <v>4.2857441005550996</v>
      </c>
      <c r="H190" s="135">
        <f>_xlfn.IFNA(VLOOKUP(A190,'[1]mFund List'!$A$2:$N$200,14,FALSE)/1000000,"n/a")</f>
        <v>-0.35077511764962038</v>
      </c>
      <c r="I190" s="134">
        <f>_xlfn.IFNA(VLOOKUP(A190,'[1]mFund List'!$A$2:$R$200,18,FALSE)/1000000,"n/a")</f>
        <v>-0.34095954578659987</v>
      </c>
      <c r="J190" s="136">
        <f>_xlfn.IFNA(VLOOKUP(A190,[1]IRESS!$A$10:$F$875,5,FALSE),"n/a")</f>
        <v>340553.43999999994</v>
      </c>
      <c r="K190" s="137">
        <f>_xlfn.IFNA(VLOOKUP(A190,[1]IRESS!$A$11:$G$684,7,FALSE),"n/a")</f>
        <v>328794.1618</v>
      </c>
      <c r="L190" s="136">
        <f>_xlfn.IFNA(VLOOKUP(A190,[1]IRESS!$A$10:$F$875,4,FALSE),"n/a")</f>
        <v>2</v>
      </c>
      <c r="M190" s="138">
        <f t="shared" si="2"/>
        <v>7.9461916532975144E-2</v>
      </c>
      <c r="N190" s="139" t="e">
        <f>VLOOKUP(A190,[1]Spreads!$A$1:$G$87,2,FALSE)</f>
        <v>#N/A</v>
      </c>
      <c r="O190" s="137" t="e">
        <f>VLOOKUP(A190,[1]Spreads!$A$1:$G$87,5,FALSE)/1000</f>
        <v>#N/A</v>
      </c>
      <c r="P190" s="140" t="e">
        <f>VLOOKUP(A190,[1]Spreads!$A$1:$G$87,6,FALSE)/1000</f>
        <v>#N/A</v>
      </c>
      <c r="R190" s="141">
        <f>_xlfn.IFNA(VLOOKUP($A190,[1]IRESS!$A$11:$AE$696,6,FALSE)/100,"n/a")</f>
        <v>1.0369999999999999</v>
      </c>
      <c r="S190" s="117"/>
      <c r="T190" s="142" t="str">
        <f>IF(VLOOKUP($A190,[1]FE!$A$2:$G$498,3,FALSE)="N/A","n/a",IFERROR(VLOOKUP($A190,[1]FE!$A$2:$G$498,3,FALSE),"n/a"))</f>
        <v>-0.21%</v>
      </c>
      <c r="U190" s="138" t="str">
        <f>IF(VLOOKUP($A190,[1]FE!$A$2:$G$498,4,FALSE)="N/A","n/a",IFERROR(VLOOKUP($A190,[1]FE!$A$2:$G$498,4,FALSE),"n/a"))</f>
        <v>0.30%</v>
      </c>
      <c r="V190" s="142" t="str">
        <f>IF(VLOOKUP($A190,[1]FE!$A$2:$G$498,5,FALSE)="N/A","n/a",IFERROR(VLOOKUP($A190,[1]FE!$A$2:$G$498,5,FALSE),"n/a"))</f>
        <v>2.64%</v>
      </c>
      <c r="W190" s="138" t="str">
        <f>IF(VLOOKUP($A190,[1]FE!$A$2:$G$498,6,FALSE)="N/A","n/a",IFERROR(VLOOKUP($A190,[1]FE!$A$2:$G$498,6,FALSE),"n/a"))</f>
        <v>3.37%</v>
      </c>
      <c r="X190" s="142" t="str">
        <f>IF(VLOOKUP($A190,[1]FE!$A$2:$G$498,7,FALSE)="N/A","n/a",IFERROR(VLOOKUP($A190,[1]FE!$A$2:$G$498,7,FALSE),"n/a"))</f>
        <v>n/a</v>
      </c>
    </row>
    <row r="191" spans="1:24" s="45" customFormat="1" ht="18.75">
      <c r="A191" s="129" t="s">
        <v>469</v>
      </c>
      <c r="B191" s="130" t="s">
        <v>298</v>
      </c>
      <c r="C191" s="148" t="str">
        <f>VLOOKUP(A191,'[1]mFund List'!$A$2:$B$311,2,FALSE)</f>
        <v>PIMCO Income Fund Wholesale Class</v>
      </c>
      <c r="D191" s="149"/>
      <c r="E191" s="116"/>
      <c r="F191" s="133" t="str">
        <f>_xlfn.IFNA(VLOOKUP(A191,'[1]mFund List'!$A$2:$I$200,6,FALSE),"n/a")</f>
        <v>0.78%</v>
      </c>
      <c r="G191" s="134">
        <f>_xlfn.IFNA(VLOOKUP(A191,'[1]mFund List'!$A$2:$J$200,8,FALSE)/1000000,"n/a")</f>
        <v>18.823121598634078</v>
      </c>
      <c r="H191" s="135">
        <f>_xlfn.IFNA(VLOOKUP(A191,'[1]mFund List'!$A$2:$N$200,14,FALSE)/1000000,"n/a")</f>
        <v>0.15285479496689885</v>
      </c>
      <c r="I191" s="134">
        <f>_xlfn.IFNA(VLOOKUP(A191,'[1]mFund List'!$A$2:$R$200,18,FALSE)/1000000,"n/a")</f>
        <v>0.23672199746832118</v>
      </c>
      <c r="J191" s="136">
        <f>_xlfn.IFNA(VLOOKUP(A191,[1]IRESS!$A$10:$F$875,5,FALSE),"n/a")</f>
        <v>728365.67</v>
      </c>
      <c r="K191" s="137">
        <f>_xlfn.IFNA(VLOOKUP(A191,[1]IRESS!$A$11:$G$684,7,FALSE),"n/a")</f>
        <v>698837.9105</v>
      </c>
      <c r="L191" s="136">
        <f>_xlfn.IFNA(VLOOKUP(A191,[1]IRESS!$A$10:$F$875,4,FALSE),"n/a")</f>
        <v>22</v>
      </c>
      <c r="M191" s="138">
        <f t="shared" si="2"/>
        <v>3.8695264554464481E-2</v>
      </c>
      <c r="N191" s="139" t="e">
        <f>VLOOKUP(A191,[1]Spreads!$A$1:$G$87,2,FALSE)</f>
        <v>#N/A</v>
      </c>
      <c r="O191" s="137" t="e">
        <f>VLOOKUP(A191,[1]Spreads!$A$1:$G$87,5,FALSE)/1000</f>
        <v>#N/A</v>
      </c>
      <c r="P191" s="140" t="e">
        <f>VLOOKUP(A191,[1]Spreads!$A$1:$G$87,6,FALSE)/1000</f>
        <v>#N/A</v>
      </c>
      <c r="Q191" s="7"/>
      <c r="R191" s="141">
        <f>_xlfn.IFNA(VLOOKUP($A191,[1]IRESS!$A$11:$AE$696,6,FALSE)/100,"n/a")</f>
        <v>1.0415999999999999</v>
      </c>
      <c r="S191" s="117"/>
      <c r="T191" s="142" t="str">
        <f>IF(VLOOKUP($A191,[1]FE!$A$2:$G$498,3,FALSE)="N/A","n/a",IFERROR(VLOOKUP($A191,[1]FE!$A$2:$G$498,3,FALSE),"n/a"))</f>
        <v>-0.13%</v>
      </c>
      <c r="U191" s="138" t="str">
        <f>IF(VLOOKUP($A191,[1]FE!$A$2:$G$498,4,FALSE)="N/A","n/a",IFERROR(VLOOKUP($A191,[1]FE!$A$2:$G$498,4,FALSE),"n/a"))</f>
        <v>-0.66%</v>
      </c>
      <c r="V191" s="142" t="str">
        <f>IF(VLOOKUP($A191,[1]FE!$A$2:$G$498,5,FALSE)="N/A","n/a",IFERROR(VLOOKUP($A191,[1]FE!$A$2:$G$498,5,FALSE),"n/a"))</f>
        <v>1.61%</v>
      </c>
      <c r="W191" s="138" t="str">
        <f>IF(VLOOKUP($A191,[1]FE!$A$2:$G$498,6,FALSE)="N/A","n/a",IFERROR(VLOOKUP($A191,[1]FE!$A$2:$G$498,6,FALSE),"n/a"))</f>
        <v>n/a</v>
      </c>
      <c r="X191" s="142" t="str">
        <f>IF(VLOOKUP($A191,[1]FE!$A$2:$G$498,7,FALSE)="N/A","n/a",IFERROR(VLOOKUP($A191,[1]FE!$A$2:$G$498,7,FALSE),"n/a"))</f>
        <v>n/a</v>
      </c>
    </row>
    <row r="192" spans="1:24" ht="18.75">
      <c r="A192" s="129" t="s">
        <v>470</v>
      </c>
      <c r="B192" s="130" t="s">
        <v>298</v>
      </c>
      <c r="C192" s="148" t="str">
        <f>VLOOKUP(A192,'[1]mFund List'!$A$2:$B$311,2,FALSE)</f>
        <v>PIMCO ESG Global Bond Fund Wholesale Class</v>
      </c>
      <c r="D192" s="149"/>
      <c r="E192" s="116"/>
      <c r="F192" s="133" t="str">
        <f>_xlfn.IFNA(VLOOKUP(A192,'[1]mFund List'!$A$2:$I$200,6,FALSE),"n/a")</f>
        <v>0.69%</v>
      </c>
      <c r="G192" s="134">
        <f>_xlfn.IFNA(VLOOKUP(A192,'[1]mFund List'!$A$2:$J$200,8,FALSE)/1000000,"n/a")</f>
        <v>0.32260481534745</v>
      </c>
      <c r="H192" s="135">
        <f>_xlfn.IFNA(VLOOKUP(A192,'[1]mFund List'!$A$2:$N$200,14,FALSE)/1000000,"n/a")</f>
        <v>5.0639607879950081E-2</v>
      </c>
      <c r="I192" s="134">
        <f>_xlfn.IFNA(VLOOKUP(A192,'[1]mFund List'!$A$2:$R$200,18,FALSE)/1000000,"n/a")</f>
        <v>5.0107646593950034E-2</v>
      </c>
      <c r="J192" s="136">
        <f>_xlfn.IFNA(VLOOKUP(A192,[1]IRESS!$A$10:$F$875,5,FALSE),"n/a")</f>
        <v>50000</v>
      </c>
      <c r="K192" s="137">
        <f>_xlfn.IFNA(VLOOKUP(A192,[1]IRESS!$A$11:$G$684,7,FALSE),"n/a")</f>
        <v>48909.367100000003</v>
      </c>
      <c r="L192" s="136">
        <f>_xlfn.IFNA(VLOOKUP(A192,[1]IRESS!$A$10:$F$875,4,FALSE),"n/a")</f>
        <v>2</v>
      </c>
      <c r="M192" s="138">
        <f t="shared" si="2"/>
        <v>0.15498838709567705</v>
      </c>
      <c r="N192" s="139" t="e">
        <f>VLOOKUP(A192,[1]Spreads!$A$1:$G$87,2,FALSE)</f>
        <v>#N/A</v>
      </c>
      <c r="O192" s="137" t="e">
        <f>VLOOKUP(A192,[1]Spreads!$A$1:$G$87,5,FALSE)/1000</f>
        <v>#N/A</v>
      </c>
      <c r="P192" s="140" t="e">
        <f>VLOOKUP(A192,[1]Spreads!$A$1:$G$87,6,FALSE)/1000</f>
        <v>#N/A</v>
      </c>
      <c r="R192" s="141">
        <f>_xlfn.IFNA(VLOOKUP($A192,[1]IRESS!$A$11:$AE$696,6,FALSE)/100,"n/a")</f>
        <v>1.0245</v>
      </c>
      <c r="S192" s="117"/>
      <c r="T192" s="142" t="str">
        <f>IF(VLOOKUP($A192,[1]FE!$A$2:$G$498,3,FALSE)="N/A","n/a",IFERROR(VLOOKUP($A192,[1]FE!$A$2:$G$498,3,FALSE),"n/a"))</f>
        <v>0.20%</v>
      </c>
      <c r="U192" s="138" t="str">
        <f>IF(VLOOKUP($A192,[1]FE!$A$2:$G$498,4,FALSE)="N/A","n/a",IFERROR(VLOOKUP($A192,[1]FE!$A$2:$G$498,4,FALSE),"n/a"))</f>
        <v>0.00%</v>
      </c>
      <c r="V192" s="142" t="str">
        <f>IF(VLOOKUP($A192,[1]FE!$A$2:$G$498,5,FALSE)="N/A","n/a",IFERROR(VLOOKUP($A192,[1]FE!$A$2:$G$498,5,FALSE),"n/a"))</f>
        <v>1.70%</v>
      </c>
      <c r="W192" s="138" t="str">
        <f>IF(VLOOKUP($A192,[1]FE!$A$2:$G$498,6,FALSE)="N/A","n/a",IFERROR(VLOOKUP($A192,[1]FE!$A$2:$G$498,6,FALSE),"n/a"))</f>
        <v>n/a</v>
      </c>
      <c r="X192" s="142" t="str">
        <f>IF(VLOOKUP($A192,[1]FE!$A$2:$G$498,7,FALSE)="N/A","n/a",IFERROR(VLOOKUP($A192,[1]FE!$A$2:$G$498,7,FALSE),"n/a"))</f>
        <v>n/a</v>
      </c>
    </row>
    <row r="193" spans="1:24" ht="18.75">
      <c r="A193" s="129" t="s">
        <v>471</v>
      </c>
      <c r="B193" s="130" t="s">
        <v>298</v>
      </c>
      <c r="C193" s="148" t="str">
        <f>VLOOKUP(A193,'[1]mFund List'!$A$2:$B$311,2,FALSE)</f>
        <v>UBS Income Solution Fund</v>
      </c>
      <c r="D193" s="149"/>
      <c r="E193" s="116"/>
      <c r="F193" s="133" t="str">
        <f>_xlfn.IFNA(VLOOKUP(A193,'[1]mFund List'!$A$2:$I$200,6,FALSE),"n/a")</f>
        <v>0.60%</v>
      </c>
      <c r="G193" s="134">
        <f>_xlfn.IFNA(VLOOKUP(A193,'[1]mFund List'!$A$2:$J$200,8,FALSE)/1000000,"n/a")</f>
        <v>1.5307271536781839</v>
      </c>
      <c r="H193" s="135">
        <f>_xlfn.IFNA(VLOOKUP(A193,'[1]mFund List'!$A$2:$N$200,14,FALSE)/1000000,"n/a")</f>
        <v>-6.2139623729884623E-4</v>
      </c>
      <c r="I193" s="134">
        <f>_xlfn.IFNA(VLOOKUP(A193,'[1]mFund List'!$A$2:$R$200,18,FALSE)/1000000,"n/a")</f>
        <v>3.663581488001108E-4</v>
      </c>
      <c r="J193" s="136">
        <f>_xlfn.IFNA(VLOOKUP(A193,[1]IRESS!$A$10:$F$875,5,FALSE),"n/a")</f>
        <v>366.23999999999995</v>
      </c>
      <c r="K193" s="137">
        <f>_xlfn.IFNA(VLOOKUP(A193,[1]IRESS!$A$11:$G$684,7,FALSE),"n/a")</f>
        <v>394.10300000000001</v>
      </c>
      <c r="L193" s="136">
        <f>_xlfn.IFNA(VLOOKUP(A193,[1]IRESS!$A$10:$F$875,4,FALSE),"n/a")</f>
        <v>6</v>
      </c>
      <c r="M193" s="138">
        <f t="shared" si="2"/>
        <v>2.3925883794506547E-4</v>
      </c>
      <c r="N193" s="139" t="e">
        <f>VLOOKUP(A193,[1]Spreads!$A$1:$G$87,2,FALSE)</f>
        <v>#N/A</v>
      </c>
      <c r="O193" s="137" t="e">
        <f>VLOOKUP(A193,[1]Spreads!$A$1:$G$87,5,FALSE)/1000</f>
        <v>#N/A</v>
      </c>
      <c r="P193" s="140" t="e">
        <f>VLOOKUP(A193,[1]Spreads!$A$1:$G$87,6,FALSE)/1000</f>
        <v>#N/A</v>
      </c>
      <c r="R193" s="141">
        <f>_xlfn.IFNA(VLOOKUP($A193,[1]IRESS!$A$11:$AE$696,6,FALSE)/100,"n/a")</f>
        <v>0.92959999999999998</v>
      </c>
      <c r="S193" s="117"/>
      <c r="T193" s="142" t="str">
        <f>IF(VLOOKUP($A193,[1]FE!$A$2:$G$498,3,FALSE)="N/A","n/a",IFERROR(VLOOKUP($A193,[1]FE!$A$2:$G$498,3,FALSE),"n/a"))</f>
        <v>0.21%</v>
      </c>
      <c r="U193" s="138" t="str">
        <f>IF(VLOOKUP($A193,[1]FE!$A$2:$G$498,4,FALSE)="N/A","n/a",IFERROR(VLOOKUP($A193,[1]FE!$A$2:$G$498,4,FALSE),"n/a"))</f>
        <v>0.70%</v>
      </c>
      <c r="V193" s="142" t="str">
        <f>IF(VLOOKUP($A193,[1]FE!$A$2:$G$498,5,FALSE)="N/A","n/a",IFERROR(VLOOKUP($A193,[1]FE!$A$2:$G$498,5,FALSE),"n/a"))</f>
        <v>3.43%</v>
      </c>
      <c r="W193" s="138" t="str">
        <f>IF(VLOOKUP($A193,[1]FE!$A$2:$G$498,6,FALSE)="N/A","n/a",IFERROR(VLOOKUP($A193,[1]FE!$A$2:$G$498,6,FALSE),"n/a"))</f>
        <v>3.79%</v>
      </c>
      <c r="X193" s="142" t="str">
        <f>IF(VLOOKUP($A193,[1]FE!$A$2:$G$498,7,FALSE)="N/A","n/a",IFERROR(VLOOKUP($A193,[1]FE!$A$2:$G$498,7,FALSE),"n/a"))</f>
        <v>4.26%</v>
      </c>
    </row>
    <row r="194" spans="1:24" ht="18.75">
      <c r="A194" s="129" t="s">
        <v>472</v>
      </c>
      <c r="B194" s="130" t="s">
        <v>298</v>
      </c>
      <c r="C194" s="148" t="str">
        <f>VLOOKUP(A194,'[1]mFund List'!$A$2:$B$311,2,FALSE)</f>
        <v>UBS Diversified Fixed Income Fund</v>
      </c>
      <c r="D194" s="149"/>
      <c r="E194" s="116"/>
      <c r="F194" s="133" t="str">
        <f>_xlfn.IFNA(VLOOKUP(A194,'[1]mFund List'!$A$2:$I$200,6,FALSE),"n/a")</f>
        <v>0.55%</v>
      </c>
      <c r="G194" s="134">
        <f>_xlfn.IFNA(VLOOKUP(A194,'[1]mFund List'!$A$2:$J$200,8,FALSE)/1000000,"n/a")</f>
        <v>2.9529637578290981</v>
      </c>
      <c r="H194" s="135">
        <f>_xlfn.IFNA(VLOOKUP(A194,'[1]mFund List'!$A$2:$N$200,14,FALSE)/1000000,"n/a")</f>
        <v>7.1802867293777869E-2</v>
      </c>
      <c r="I194" s="134">
        <f>_xlfn.IFNA(VLOOKUP(A194,'[1]mFund List'!$A$2:$R$200,18,FALSE)/1000000,"n/a")</f>
        <v>6.0107998418000373E-2</v>
      </c>
      <c r="J194" s="136">
        <f>_xlfn.IFNA(VLOOKUP(A194,[1]IRESS!$A$10:$F$875,5,FALSE),"n/a")</f>
        <v>60000</v>
      </c>
      <c r="K194" s="137">
        <f>_xlfn.IFNA(VLOOKUP(A194,[1]IRESS!$A$11:$G$684,7,FALSE),"n/a")</f>
        <v>67499.156000000003</v>
      </c>
      <c r="L194" s="136">
        <f>_xlfn.IFNA(VLOOKUP(A194,[1]IRESS!$A$10:$F$875,4,FALSE),"n/a")</f>
        <v>1</v>
      </c>
      <c r="M194" s="138">
        <f t="shared" si="2"/>
        <v>2.0318569722003504E-2</v>
      </c>
      <c r="N194" s="139" t="e">
        <f>VLOOKUP(A194,[1]Spreads!$A$1:$G$87,2,FALSE)</f>
        <v>#N/A</v>
      </c>
      <c r="O194" s="137" t="e">
        <f>VLOOKUP(A194,[1]Spreads!$A$1:$G$87,5,FALSE)/1000</f>
        <v>#N/A</v>
      </c>
      <c r="P194" s="140" t="e">
        <f>VLOOKUP(A194,[1]Spreads!$A$1:$G$87,6,FALSE)/1000</f>
        <v>#N/A</v>
      </c>
      <c r="R194" s="141">
        <f>_xlfn.IFNA(VLOOKUP($A194,[1]IRESS!$A$11:$AE$696,6,FALSE)/100,"n/a")</f>
        <v>0.89049999999999996</v>
      </c>
      <c r="S194" s="117"/>
      <c r="T194" s="142" t="str">
        <f>IF(VLOOKUP($A194,[1]FE!$A$2:$G$498,3,FALSE)="N/A","n/a",IFERROR(VLOOKUP($A194,[1]FE!$A$2:$G$498,3,FALSE),"n/a"))</f>
        <v>0.37%</v>
      </c>
      <c r="U194" s="138" t="str">
        <f>IF(VLOOKUP($A194,[1]FE!$A$2:$G$498,4,FALSE)="N/A","n/a",IFERROR(VLOOKUP($A194,[1]FE!$A$2:$G$498,4,FALSE),"n/a"))</f>
        <v>0.55%</v>
      </c>
      <c r="V194" s="142" t="str">
        <f>IF(VLOOKUP($A194,[1]FE!$A$2:$G$498,5,FALSE)="N/A","n/a",IFERROR(VLOOKUP($A194,[1]FE!$A$2:$G$498,5,FALSE),"n/a"))</f>
        <v>3.08%</v>
      </c>
      <c r="W194" s="138" t="str">
        <f>IF(VLOOKUP($A194,[1]FE!$A$2:$G$498,6,FALSE)="N/A","n/a",IFERROR(VLOOKUP($A194,[1]FE!$A$2:$G$498,6,FALSE),"n/a"))</f>
        <v>3.60%</v>
      </c>
      <c r="X194" s="142" t="str">
        <f>IF(VLOOKUP($A194,[1]FE!$A$2:$G$498,7,FALSE)="N/A","n/a",IFERROR(VLOOKUP($A194,[1]FE!$A$2:$G$498,7,FALSE),"n/a"))</f>
        <v>4.44%</v>
      </c>
    </row>
    <row r="195" spans="1:24" s="108" customFormat="1" ht="18.75">
      <c r="A195" s="123" t="s">
        <v>196</v>
      </c>
      <c r="B195" s="124"/>
      <c r="C195" s="124"/>
      <c r="D195" s="124"/>
      <c r="E195" s="116"/>
      <c r="F195" s="143"/>
      <c r="G195" s="144"/>
      <c r="H195" s="144"/>
      <c r="I195" s="144"/>
      <c r="J195" s="145"/>
      <c r="K195" s="145"/>
      <c r="L195" s="145"/>
      <c r="M195" s="146"/>
      <c r="N195" s="146"/>
      <c r="O195" s="145"/>
      <c r="P195" s="145"/>
      <c r="Q195" s="7"/>
      <c r="R195" s="147"/>
      <c r="S195" s="117"/>
      <c r="T195" s="125"/>
      <c r="U195" s="125"/>
      <c r="V195" s="125"/>
      <c r="W195" s="125"/>
      <c r="X195" s="125"/>
    </row>
    <row r="196" spans="1:24" ht="18.75">
      <c r="A196" s="129" t="s">
        <v>473</v>
      </c>
      <c r="B196" s="130" t="s">
        <v>298</v>
      </c>
      <c r="C196" s="131" t="str">
        <f>VLOOKUP(A196,'[1]mFund List'!$A$2:$B$311,2,FALSE)</f>
        <v>AMP Capital Multi-Asset</v>
      </c>
      <c r="D196" s="132"/>
      <c r="E196" s="116"/>
      <c r="F196" s="133" t="str">
        <f>_xlfn.IFNA(VLOOKUP(A196,'[1]mFund List'!$A$2:$I$200,6,FALSE),"n/a")</f>
        <v>0.85%</v>
      </c>
      <c r="G196" s="134">
        <f>_xlfn.IFNA(VLOOKUP(A196,'[1]mFund List'!$A$2:$J$200,8,FALSE)/1000000,"n/a")</f>
        <v>9.0409058006856</v>
      </c>
      <c r="H196" s="135">
        <f>_xlfn.IFNA(VLOOKUP(A196,'[1]mFund List'!$A$2:$N$200,14,FALSE)/1000000,"n/a")</f>
        <v>1.025315925836999</v>
      </c>
      <c r="I196" s="134">
        <f>_xlfn.IFNA(VLOOKUP(A196,'[1]mFund List'!$A$2:$R$200,18,FALSE)/1000000,"n/a")</f>
        <v>1.0234141049471999</v>
      </c>
      <c r="J196" s="136">
        <f>_xlfn.IFNA(VLOOKUP(A196,[1]IRESS!$A$10:$F$875,5,FALSE),"n/a")</f>
        <v>1177442.56</v>
      </c>
      <c r="K196" s="137">
        <f>_xlfn.IFNA(VLOOKUP(A196,[1]IRESS!$A$11:$G$684,7,FALSE),"n/a")</f>
        <v>1071053.02</v>
      </c>
      <c r="L196" s="136">
        <f>_xlfn.IFNA(VLOOKUP(A196,[1]IRESS!$A$10:$F$875,4,FALSE),"n/a")</f>
        <v>18</v>
      </c>
      <c r="M196" s="138">
        <f t="shared" si="2"/>
        <v>0.13023502135269577</v>
      </c>
      <c r="N196" s="139" t="e">
        <f>VLOOKUP(A196,[1]Spreads!$A$1:$G$87,2,FALSE)</f>
        <v>#N/A</v>
      </c>
      <c r="O196" s="137" t="e">
        <f>VLOOKUP(A196,[1]Spreads!$A$1:$G$87,5,FALSE)/1000</f>
        <v>#N/A</v>
      </c>
      <c r="P196" s="140" t="e">
        <f>VLOOKUP(A196,[1]Spreads!$A$1:$G$87,6,FALSE)/1000</f>
        <v>#N/A</v>
      </c>
      <c r="R196" s="141">
        <f>_xlfn.IFNA(VLOOKUP($A196,[1]IRESS!$A$11:$AE$696,6,FALSE)/100,"n/a")</f>
        <v>1.0960799999999999</v>
      </c>
      <c r="S196" s="117"/>
      <c r="T196" s="142" t="str">
        <f>IF(VLOOKUP($A196,[1]FE!$A$2:$G$498,3,FALSE)="N/A","n/a",IFERROR(VLOOKUP($A196,[1]FE!$A$2:$G$498,3,FALSE),"n/a"))</f>
        <v>0.03%</v>
      </c>
      <c r="U196" s="138" t="str">
        <f>IF(VLOOKUP($A196,[1]FE!$A$2:$G$498,4,FALSE)="N/A","n/a",IFERROR(VLOOKUP($A196,[1]FE!$A$2:$G$498,4,FALSE),"n/a"))</f>
        <v>0.42%</v>
      </c>
      <c r="V196" s="142" t="str">
        <f>IF(VLOOKUP($A196,[1]FE!$A$2:$G$498,5,FALSE)="N/A","n/a",IFERROR(VLOOKUP($A196,[1]FE!$A$2:$G$498,5,FALSE),"n/a"))</f>
        <v>4.52%</v>
      </c>
      <c r="W196" s="138" t="str">
        <f>IF(VLOOKUP($A196,[1]FE!$A$2:$G$498,6,FALSE)="N/A","n/a",IFERROR(VLOOKUP($A196,[1]FE!$A$2:$G$498,6,FALSE),"n/a"))</f>
        <v>5.01%</v>
      </c>
      <c r="X196" s="142" t="str">
        <f>IF(VLOOKUP($A196,[1]FE!$A$2:$G$498,7,FALSE)="N/A","n/a",IFERROR(VLOOKUP($A196,[1]FE!$A$2:$G$498,7,FALSE),"n/a"))</f>
        <v>6.91%</v>
      </c>
    </row>
    <row r="197" spans="1:24" ht="18.75">
      <c r="A197" s="129" t="s">
        <v>474</v>
      </c>
      <c r="B197" s="130" t="s">
        <v>298</v>
      </c>
      <c r="C197" s="131" t="str">
        <f>VLOOKUP(A197,'[1]mFund List'!$A$2:$B$311,2,FALSE)</f>
        <v>IPAC AMP Capital Income Generator</v>
      </c>
      <c r="D197" s="132"/>
      <c r="E197" s="116"/>
      <c r="F197" s="133" t="str">
        <f>_xlfn.IFNA(VLOOKUP(A197,'[1]mFund List'!$A$2:$I$200,6,FALSE),"n/a")</f>
        <v>0.79%</v>
      </c>
      <c r="G197" s="134">
        <f>_xlfn.IFNA(VLOOKUP(A197,'[1]mFund List'!$A$2:$J$200,8,FALSE)/1000000,"n/a")</f>
        <v>1.9345980902179998</v>
      </c>
      <c r="H197" s="135">
        <f>_xlfn.IFNA(VLOOKUP(A197,'[1]mFund List'!$A$2:$N$200,14,FALSE)/1000000,"n/a")</f>
        <v>1.7551466478999703E-2</v>
      </c>
      <c r="I197" s="134">
        <f>_xlfn.IFNA(VLOOKUP(A197,'[1]mFund List'!$A$2:$R$200,18,FALSE)/1000000,"n/a")</f>
        <v>0</v>
      </c>
      <c r="J197" s="136" t="str">
        <f>_xlfn.IFNA(VLOOKUP(A197,[1]IRESS!$A$10:$F$875,5,FALSE),"n/a")</f>
        <v>0</v>
      </c>
      <c r="K197" s="137" t="str">
        <f>_xlfn.IFNA(VLOOKUP(A197,[1]IRESS!$A$11:$G$684,7,FALSE),"n/a")</f>
        <v>0</v>
      </c>
      <c r="L197" s="136" t="str">
        <f>_xlfn.IFNA(VLOOKUP(A197,[1]IRESS!$A$10:$F$875,4,FALSE),"n/a")</f>
        <v>0</v>
      </c>
      <c r="M197" s="138">
        <f t="shared" si="2"/>
        <v>0</v>
      </c>
      <c r="N197" s="139" t="e">
        <f>VLOOKUP(A197,[1]Spreads!$A$1:$G$87,2,FALSE)</f>
        <v>#N/A</v>
      </c>
      <c r="O197" s="137" t="e">
        <f>VLOOKUP(A197,[1]Spreads!$A$1:$G$87,5,FALSE)/1000</f>
        <v>#N/A</v>
      </c>
      <c r="P197" s="140" t="e">
        <f>VLOOKUP(A197,[1]Spreads!$A$1:$G$87,6,FALSE)/1000</f>
        <v>#N/A</v>
      </c>
      <c r="R197" s="141">
        <f>_xlfn.IFNA(VLOOKUP($A197,[1]IRESS!$A$11:$AE$696,6,FALSE)/100,"n/a")</f>
        <v>1.1794</v>
      </c>
      <c r="S197" s="117"/>
      <c r="T197" s="142" t="str">
        <f>IF(VLOOKUP($A197,[1]FE!$A$2:$G$498,3,FALSE)="N/A","n/a",IFERROR(VLOOKUP($A197,[1]FE!$A$2:$G$498,3,FALSE),"n/a"))</f>
        <v>1.24%</v>
      </c>
      <c r="U197" s="138" t="str">
        <f>IF(VLOOKUP($A197,[1]FE!$A$2:$G$498,4,FALSE)="N/A","n/a",IFERROR(VLOOKUP($A197,[1]FE!$A$2:$G$498,4,FALSE),"n/a"))</f>
        <v>2.51%</v>
      </c>
      <c r="V197" s="142" t="str">
        <f>IF(VLOOKUP($A197,[1]FE!$A$2:$G$498,5,FALSE)="N/A","n/a",IFERROR(VLOOKUP($A197,[1]FE!$A$2:$G$498,5,FALSE),"n/a"))</f>
        <v>4.24%</v>
      </c>
      <c r="W197" s="138" t="str">
        <f>IF(VLOOKUP($A197,[1]FE!$A$2:$G$498,6,FALSE)="N/A","n/a",IFERROR(VLOOKUP($A197,[1]FE!$A$2:$G$498,6,FALSE),"n/a"))</f>
        <v>4.78%</v>
      </c>
      <c r="X197" s="142" t="str">
        <f>IF(VLOOKUP($A197,[1]FE!$A$2:$G$498,7,FALSE)="N/A","n/a",IFERROR(VLOOKUP($A197,[1]FE!$A$2:$G$498,7,FALSE),"n/a"))</f>
        <v>6.45%</v>
      </c>
    </row>
    <row r="198" spans="1:24" ht="18.75">
      <c r="A198" s="129" t="s">
        <v>475</v>
      </c>
      <c r="B198" s="130" t="s">
        <v>298</v>
      </c>
      <c r="C198" s="131" t="str">
        <f>VLOOKUP(A198,'[1]mFund List'!$A$2:$B$311,2,FALSE)</f>
        <v>Australian Ethical Balanced Fund</v>
      </c>
      <c r="D198" s="132"/>
      <c r="E198" s="116"/>
      <c r="F198" s="133" t="str">
        <f>_xlfn.IFNA(VLOOKUP(A198,'[1]mFund List'!$A$2:$I$200,6,FALSE),"n/a")</f>
        <v>0.85%</v>
      </c>
      <c r="G198" s="134">
        <f>_xlfn.IFNA(VLOOKUP(A198,'[1]mFund List'!$A$2:$J$200,8,FALSE)/1000000,"n/a")</f>
        <v>0.26828951948477159</v>
      </c>
      <c r="H198" s="135">
        <f>_xlfn.IFNA(VLOOKUP(A198,'[1]mFund List'!$A$2:$N$200,14,FALSE)/1000000,"n/a")</f>
        <v>0.14913812008633237</v>
      </c>
      <c r="I198" s="134">
        <f>_xlfn.IFNA(VLOOKUP(A198,'[1]mFund List'!$A$2:$R$200,18,FALSE)/1000000,"n/a")</f>
        <v>0.14715216740319401</v>
      </c>
      <c r="J198" s="136">
        <f>_xlfn.IFNA(VLOOKUP(A198,[1]IRESS!$A$10:$F$875,5,FALSE),"n/a")</f>
        <v>146000</v>
      </c>
      <c r="K198" s="137">
        <f>_xlfn.IFNA(VLOOKUP(A198,[1]IRESS!$A$11:$G$684,7,FALSE),"n/a")</f>
        <v>90895.0435</v>
      </c>
      <c r="L198" s="136">
        <f>_xlfn.IFNA(VLOOKUP(A198,[1]IRESS!$A$10:$F$875,4,FALSE),"n/a")</f>
        <v>4</v>
      </c>
      <c r="M198" s="138">
        <f t="shared" si="2"/>
        <v>0.54418823471144617</v>
      </c>
      <c r="N198" s="139" t="e">
        <f>VLOOKUP(A198,[1]Spreads!$A$1:$G$87,2,FALSE)</f>
        <v>#N/A</v>
      </c>
      <c r="O198" s="137" t="e">
        <f>VLOOKUP(A198,[1]Spreads!$A$1:$G$87,5,FALSE)/1000</f>
        <v>#N/A</v>
      </c>
      <c r="P198" s="140" t="e">
        <f>VLOOKUP(A198,[1]Spreads!$A$1:$G$87,6,FALSE)/1000</f>
        <v>#N/A</v>
      </c>
      <c r="R198" s="141">
        <f>_xlfn.IFNA(VLOOKUP($A198,[1]IRESS!$A$11:$AE$696,6,FALSE)/100,"n/a")</f>
        <v>1.618924</v>
      </c>
      <c r="S198" s="117"/>
      <c r="T198" s="142" t="str">
        <f>IF(VLOOKUP($A198,[1]FE!$A$2:$G$498,3,FALSE)="N/A","n/a",IFERROR(VLOOKUP($A198,[1]FE!$A$2:$G$498,3,FALSE),"n/a"))</f>
        <v>1.66%</v>
      </c>
      <c r="U198" s="138" t="str">
        <f>IF(VLOOKUP($A198,[1]FE!$A$2:$G$498,4,FALSE)="N/A","n/a",IFERROR(VLOOKUP($A198,[1]FE!$A$2:$G$498,4,FALSE),"n/a"))</f>
        <v>3.16%</v>
      </c>
      <c r="V198" s="142" t="str">
        <f>IF(VLOOKUP($A198,[1]FE!$A$2:$G$498,5,FALSE)="N/A","n/a",IFERROR(VLOOKUP($A198,[1]FE!$A$2:$G$498,5,FALSE),"n/a"))</f>
        <v>n/a</v>
      </c>
      <c r="W198" s="138" t="str">
        <f>IF(VLOOKUP($A198,[1]FE!$A$2:$G$498,6,FALSE)="N/A","n/a",IFERROR(VLOOKUP($A198,[1]FE!$A$2:$G$498,6,FALSE),"n/a"))</f>
        <v>n/a</v>
      </c>
      <c r="X198" s="142" t="str">
        <f>IF(VLOOKUP($A198,[1]FE!$A$2:$G$498,7,FALSE)="N/A","n/a",IFERROR(VLOOKUP($A198,[1]FE!$A$2:$G$498,7,FALSE),"n/a"))</f>
        <v>n/a</v>
      </c>
    </row>
    <row r="199" spans="1:24" ht="18.75">
      <c r="A199" s="129" t="s">
        <v>476</v>
      </c>
      <c r="B199" s="130" t="s">
        <v>298</v>
      </c>
      <c r="C199" s="131" t="str">
        <f>VLOOKUP(A199,'[1]mFund List'!$A$2:$B$311,2,FALSE)</f>
        <v>Aberdeen Multi-Asset Income Fund</v>
      </c>
      <c r="D199" s="132"/>
      <c r="E199" s="116"/>
      <c r="F199" s="133" t="str">
        <f>_xlfn.IFNA(VLOOKUP(A199,'[1]mFund List'!$A$2:$I$200,6,FALSE),"n/a")</f>
        <v>0.72%</v>
      </c>
      <c r="G199" s="134">
        <f>_xlfn.IFNA(VLOOKUP(A199,'[1]mFund List'!$A$2:$J$200,8,FALSE)/1000000,"n/a")</f>
        <v>0.366279123672</v>
      </c>
      <c r="H199" s="135">
        <f>_xlfn.IFNA(VLOOKUP(A199,'[1]mFund List'!$A$2:$N$200,14,FALSE)/1000000,"n/a")</f>
        <v>-6.2343846950000038E-2</v>
      </c>
      <c r="I199" s="134">
        <f>_xlfn.IFNA(VLOOKUP(A199,'[1]mFund List'!$A$2:$R$200,18,FALSE)/1000000,"n/a")</f>
        <v>-6.5451291934000011E-2</v>
      </c>
      <c r="J199" s="136">
        <f>_xlfn.IFNA(VLOOKUP(A199,[1]IRESS!$A$10:$F$875,5,FALSE),"n/a")</f>
        <v>65284.549999999996</v>
      </c>
      <c r="K199" s="137">
        <f>_xlfn.IFNA(VLOOKUP(A199,[1]IRESS!$A$11:$G$684,7,FALSE),"n/a")</f>
        <v>62597.760000000002</v>
      </c>
      <c r="L199" s="136">
        <f>_xlfn.IFNA(VLOOKUP(A199,[1]IRESS!$A$10:$F$875,4,FALSE),"n/a")</f>
        <v>4</v>
      </c>
      <c r="M199" s="138">
        <f t="shared" si="2"/>
        <v>0.17823715789617806</v>
      </c>
      <c r="N199" s="139" t="e">
        <f>VLOOKUP(A199,[1]Spreads!$A$1:$G$87,2,FALSE)</f>
        <v>#N/A</v>
      </c>
      <c r="O199" s="137" t="e">
        <f>VLOOKUP(A199,[1]Spreads!$A$1:$G$87,5,FALSE)/1000</f>
        <v>#N/A</v>
      </c>
      <c r="P199" s="140" t="e">
        <f>VLOOKUP(A199,[1]Spreads!$A$1:$G$87,6,FALSE)/1000</f>
        <v>#N/A</v>
      </c>
      <c r="R199" s="141">
        <f>_xlfn.IFNA(VLOOKUP($A199,[1]IRESS!$A$11:$AE$696,6,FALSE)/100,"n/a")</f>
        <v>1.0559000000000001</v>
      </c>
      <c r="S199" s="117"/>
      <c r="T199" s="142" t="str">
        <f>IF(VLOOKUP($A199,[1]FE!$A$2:$G$498,3,FALSE)="N/A","n/a",IFERROR(VLOOKUP($A199,[1]FE!$A$2:$G$498,3,FALSE),"n/a"))</f>
        <v>1.03%</v>
      </c>
      <c r="U199" s="138" t="str">
        <f>IF(VLOOKUP($A199,[1]FE!$A$2:$G$498,4,FALSE)="N/A","n/a",IFERROR(VLOOKUP($A199,[1]FE!$A$2:$G$498,4,FALSE),"n/a"))</f>
        <v>0.98%</v>
      </c>
      <c r="V199" s="142" t="str">
        <f>IF(VLOOKUP($A199,[1]FE!$A$2:$G$498,5,FALSE)="N/A","n/a",IFERROR(VLOOKUP($A199,[1]FE!$A$2:$G$498,5,FALSE),"n/a"))</f>
        <v>1.67%</v>
      </c>
      <c r="W199" s="138" t="str">
        <f>IF(VLOOKUP($A199,[1]FE!$A$2:$G$498,6,FALSE)="N/A","n/a",IFERROR(VLOOKUP($A199,[1]FE!$A$2:$G$498,6,FALSE),"n/a"))</f>
        <v>4.09%</v>
      </c>
      <c r="X199" s="142" t="str">
        <f>IF(VLOOKUP($A199,[1]FE!$A$2:$G$498,7,FALSE)="N/A","n/a",IFERROR(VLOOKUP($A199,[1]FE!$A$2:$G$498,7,FALSE),"n/a"))</f>
        <v>5.45%</v>
      </c>
    </row>
    <row r="200" spans="1:24" ht="18.75">
      <c r="A200" s="129" t="s">
        <v>477</v>
      </c>
      <c r="B200" s="130" t="s">
        <v>298</v>
      </c>
      <c r="C200" s="131" t="str">
        <f>VLOOKUP(A200,'[1]mFund List'!$A$2:$B$311,2,FALSE)</f>
        <v>Aberdeen Multi-Asset Real Return Fund</v>
      </c>
      <c r="D200" s="132"/>
      <c r="E200" s="116"/>
      <c r="F200" s="133" t="str">
        <f>_xlfn.IFNA(VLOOKUP(A200,'[1]mFund List'!$A$2:$I$200,6,FALSE),"n/a")</f>
        <v>0.84%</v>
      </c>
      <c r="G200" s="134">
        <f>_xlfn.IFNA(VLOOKUP(A200,'[1]mFund List'!$A$2:$J$200,8,FALSE)/1000000,"n/a")</f>
        <v>1.7841594724800003</v>
      </c>
      <c r="H200" s="135">
        <f>_xlfn.IFNA(VLOOKUP(A200,'[1]mFund List'!$A$2:$N$200,14,FALSE)/1000000,"n/a")</f>
        <v>8.745408672000049E-3</v>
      </c>
      <c r="I200" s="134">
        <f>_xlfn.IFNA(VLOOKUP(A200,'[1]mFund List'!$A$2:$R$200,18,FALSE)/1000000,"n/a")</f>
        <v>2.161250449717045E-16</v>
      </c>
      <c r="J200" s="136" t="str">
        <f>_xlfn.IFNA(VLOOKUP(A200,[1]IRESS!$A$10:$F$875,5,FALSE),"n/a")</f>
        <v>0</v>
      </c>
      <c r="K200" s="137" t="str">
        <f>_xlfn.IFNA(VLOOKUP(A200,[1]IRESS!$A$11:$G$684,7,FALSE),"n/a")</f>
        <v>0</v>
      </c>
      <c r="L200" s="136" t="str">
        <f>_xlfn.IFNA(VLOOKUP(A200,[1]IRESS!$A$10:$F$875,4,FALSE),"n/a")</f>
        <v>0</v>
      </c>
      <c r="M200" s="138">
        <f t="shared" si="2"/>
        <v>0</v>
      </c>
      <c r="N200" s="139" t="e">
        <f>VLOOKUP(A200,[1]Spreads!$A$1:$G$87,2,FALSE)</f>
        <v>#N/A</v>
      </c>
      <c r="O200" s="137" t="e">
        <f>VLOOKUP(A200,[1]Spreads!$A$1:$G$87,5,FALSE)/1000</f>
        <v>#N/A</v>
      </c>
      <c r="P200" s="140" t="e">
        <f>VLOOKUP(A200,[1]Spreads!$A$1:$G$87,6,FALSE)/1000</f>
        <v>#N/A</v>
      </c>
      <c r="R200" s="141">
        <f>_xlfn.IFNA(VLOOKUP($A200,[1]IRESS!$A$11:$AE$696,6,FALSE)/100,"n/a")</f>
        <v>1.8565</v>
      </c>
      <c r="S200" s="117"/>
      <c r="T200" s="142" t="str">
        <f>IF(VLOOKUP($A200,[1]FE!$A$2:$G$498,3,FALSE)="N/A","n/a",IFERROR(VLOOKUP($A200,[1]FE!$A$2:$G$498,3,FALSE),"n/a"))</f>
        <v>0.49%</v>
      </c>
      <c r="U200" s="138" t="str">
        <f>IF(VLOOKUP($A200,[1]FE!$A$2:$G$498,4,FALSE)="N/A","n/a",IFERROR(VLOOKUP($A200,[1]FE!$A$2:$G$498,4,FALSE),"n/a"))</f>
        <v>1.17%</v>
      </c>
      <c r="V200" s="142" t="str">
        <f>IF(VLOOKUP($A200,[1]FE!$A$2:$G$498,5,FALSE)="N/A","n/a",IFERROR(VLOOKUP($A200,[1]FE!$A$2:$G$498,5,FALSE),"n/a"))</f>
        <v>3.92%</v>
      </c>
      <c r="W200" s="138" t="str">
        <f>IF(VLOOKUP($A200,[1]FE!$A$2:$G$498,6,FALSE)="N/A","n/a",IFERROR(VLOOKUP($A200,[1]FE!$A$2:$G$498,6,FALSE),"n/a"))</f>
        <v>6.15%</v>
      </c>
      <c r="X200" s="142" t="str">
        <f>IF(VLOOKUP($A200,[1]FE!$A$2:$G$498,7,FALSE)="N/A","n/a",IFERROR(VLOOKUP($A200,[1]FE!$A$2:$G$498,7,FALSE),"n/a"))</f>
        <v>6.86%</v>
      </c>
    </row>
    <row r="201" spans="1:24" ht="18.75">
      <c r="A201" s="129" t="s">
        <v>478</v>
      </c>
      <c r="B201" s="130" t="s">
        <v>298</v>
      </c>
      <c r="C201" s="131" t="str">
        <f>VLOOKUP(A201,'[1]mFund List'!$A$2:$B$311,2,FALSE)</f>
        <v>Allan Gray Australia Stable Fund</v>
      </c>
      <c r="D201" s="132"/>
      <c r="E201" s="116"/>
      <c r="F201" s="133" t="str">
        <f>_xlfn.IFNA(VLOOKUP(A201,'[1]mFund List'!$A$2:$I$200,6,FALSE),"n/a")</f>
        <v>0.26%</v>
      </c>
      <c r="G201" s="134">
        <f>_xlfn.IFNA(VLOOKUP(A201,'[1]mFund List'!$A$2:$J$200,8,FALSE)/1000000,"n/a")</f>
        <v>8.4611443728383993</v>
      </c>
      <c r="H201" s="135">
        <f>_xlfn.IFNA(VLOOKUP(A201,'[1]mFund List'!$A$2:$N$200,14,FALSE)/1000000,"n/a")</f>
        <v>0.77686843539479844</v>
      </c>
      <c r="I201" s="134">
        <f>_xlfn.IFNA(VLOOKUP(A201,'[1]mFund List'!$A$2:$R$200,18,FALSE)/1000000,"n/a")</f>
        <v>0.71699750830079956</v>
      </c>
      <c r="J201" s="136">
        <f>_xlfn.IFNA(VLOOKUP(A201,[1]IRESS!$A$10:$F$875,5,FALSE),"n/a")</f>
        <v>892606.65</v>
      </c>
      <c r="K201" s="137">
        <f>_xlfn.IFNA(VLOOKUP(A201,[1]IRESS!$A$11:$G$684,7,FALSE),"n/a")</f>
        <v>729714.33800000022</v>
      </c>
      <c r="L201" s="136">
        <f>_xlfn.IFNA(VLOOKUP(A201,[1]IRESS!$A$10:$F$875,4,FALSE),"n/a")</f>
        <v>15</v>
      </c>
      <c r="M201" s="138">
        <f t="shared" si="2"/>
        <v>0.1054947901451023</v>
      </c>
      <c r="N201" s="139" t="e">
        <f>VLOOKUP(A201,[1]Spreads!$A$1:$G$87,2,FALSE)</f>
        <v>#N/A</v>
      </c>
      <c r="O201" s="137" t="e">
        <f>VLOOKUP(A201,[1]Spreads!$A$1:$G$87,5,FALSE)/1000</f>
        <v>#N/A</v>
      </c>
      <c r="P201" s="140" t="e">
        <f>VLOOKUP(A201,[1]Spreads!$A$1:$G$87,6,FALSE)/1000</f>
        <v>#N/A</v>
      </c>
      <c r="R201" s="141">
        <f>_xlfn.IFNA(VLOOKUP($A201,[1]IRESS!$A$11:$AE$696,6,FALSE)/100,"n/a")</f>
        <v>1.2287999999999999</v>
      </c>
      <c r="S201" s="117"/>
      <c r="T201" s="142" t="str">
        <f>IF(VLOOKUP($A201,[1]FE!$A$2:$G$498,3,FALSE)="N/A","n/a",IFERROR(VLOOKUP($A201,[1]FE!$A$2:$G$498,3,FALSE),"n/a"))</f>
        <v>0.78%</v>
      </c>
      <c r="U201" s="138" t="str">
        <f>IF(VLOOKUP($A201,[1]FE!$A$2:$G$498,4,FALSE)="N/A","n/a",IFERROR(VLOOKUP($A201,[1]FE!$A$2:$G$498,4,FALSE),"n/a"))</f>
        <v>2.51%</v>
      </c>
      <c r="V201" s="142" t="str">
        <f>IF(VLOOKUP($A201,[1]FE!$A$2:$G$498,5,FALSE)="N/A","n/a",IFERROR(VLOOKUP($A201,[1]FE!$A$2:$G$498,5,FALSE),"n/a"))</f>
        <v>6.20%</v>
      </c>
      <c r="W201" s="138" t="str">
        <f>IF(VLOOKUP($A201,[1]FE!$A$2:$G$498,6,FALSE)="N/A","n/a",IFERROR(VLOOKUP($A201,[1]FE!$A$2:$G$498,6,FALSE),"n/a"))</f>
        <v>8.09%</v>
      </c>
      <c r="X201" s="142" t="str">
        <f>IF(VLOOKUP($A201,[1]FE!$A$2:$G$498,7,FALSE)="N/A","n/a",IFERROR(VLOOKUP($A201,[1]FE!$A$2:$G$498,7,FALSE),"n/a"))</f>
        <v>7.20%</v>
      </c>
    </row>
    <row r="202" spans="1:24" ht="18.75">
      <c r="A202" s="129" t="s">
        <v>479</v>
      </c>
      <c r="B202" s="130" t="s">
        <v>298</v>
      </c>
      <c r="C202" s="131" t="str">
        <f>VLOOKUP(A202,'[1]mFund List'!$A$2:$B$311,2,FALSE)</f>
        <v>Allan Gray Australia Balanced Fund</v>
      </c>
      <c r="D202" s="132"/>
      <c r="E202" s="116"/>
      <c r="F202" s="133" t="str">
        <f>_xlfn.IFNA(VLOOKUP(A202,'[1]mFund List'!$A$2:$I$200,6,FALSE),"n/a")</f>
        <v>0.76%</v>
      </c>
      <c r="G202" s="134">
        <f>_xlfn.IFNA(VLOOKUP(A202,'[1]mFund List'!$A$2:$J$200,8,FALSE)/1000000,"n/a")</f>
        <v>0.51893980025800002</v>
      </c>
      <c r="H202" s="135">
        <f>_xlfn.IFNA(VLOOKUP(A202,'[1]mFund List'!$A$2:$N$200,14,FALSE)/1000000,"n/a")</f>
        <v>1.7190006120200035E-2</v>
      </c>
      <c r="I202" s="134">
        <f>_xlfn.IFNA(VLOOKUP(A202,'[1]mFund List'!$A$2:$R$200,18,FALSE)/1000000,"n/a")</f>
        <v>1.012064913200003E-2</v>
      </c>
      <c r="J202" s="136">
        <f>_xlfn.IFNA(VLOOKUP(A202,[1]IRESS!$A$10:$F$875,5,FALSE),"n/a")</f>
        <v>10000</v>
      </c>
      <c r="K202" s="137">
        <f>_xlfn.IFNA(VLOOKUP(A202,[1]IRESS!$A$11:$G$684,7,FALSE),"n/a")</f>
        <v>8679.8019999999997</v>
      </c>
      <c r="L202" s="136">
        <f>_xlfn.IFNA(VLOOKUP(A202,[1]IRESS!$A$10:$F$875,4,FALSE),"n/a")</f>
        <v>1</v>
      </c>
      <c r="M202" s="138">
        <f t="shared" si="2"/>
        <v>1.9270057904651607E-2</v>
      </c>
      <c r="N202" s="139" t="e">
        <f>VLOOKUP(A202,[1]Spreads!$A$1:$G$87,2,FALSE)</f>
        <v>#N/A</v>
      </c>
      <c r="O202" s="137" t="e">
        <f>VLOOKUP(A202,[1]Spreads!$A$1:$G$87,5,FALSE)/1000</f>
        <v>#N/A</v>
      </c>
      <c r="P202" s="140" t="e">
        <f>VLOOKUP(A202,[1]Spreads!$A$1:$G$87,6,FALSE)/1000</f>
        <v>#N/A</v>
      </c>
      <c r="R202" s="141">
        <f>_xlfn.IFNA(VLOOKUP($A202,[1]IRESS!$A$11:$AE$696,6,FALSE)/100,"n/a")</f>
        <v>1.1659999999999999</v>
      </c>
      <c r="S202" s="117"/>
      <c r="T202" s="142" t="str">
        <f>IF(VLOOKUP($A202,[1]FE!$A$2:$G$498,3,FALSE)="N/A","n/a",IFERROR(VLOOKUP($A202,[1]FE!$A$2:$G$498,3,FALSE),"n/a"))</f>
        <v>1.41%</v>
      </c>
      <c r="U202" s="138" t="str">
        <f>IF(VLOOKUP($A202,[1]FE!$A$2:$G$498,4,FALSE)="N/A","n/a",IFERROR(VLOOKUP($A202,[1]FE!$A$2:$G$498,4,FALSE),"n/a"))</f>
        <v>3.41%</v>
      </c>
      <c r="V202" s="142" t="str">
        <f>IF(VLOOKUP($A202,[1]FE!$A$2:$G$498,5,FALSE)="N/A","n/a",IFERROR(VLOOKUP($A202,[1]FE!$A$2:$G$498,5,FALSE),"n/a"))</f>
        <v>10.75%</v>
      </c>
      <c r="W202" s="138" t="str">
        <f>IF(VLOOKUP($A202,[1]FE!$A$2:$G$498,6,FALSE)="N/A","n/a",IFERROR(VLOOKUP($A202,[1]FE!$A$2:$G$498,6,FALSE),"n/a"))</f>
        <v>n/a</v>
      </c>
      <c r="X202" s="142" t="str">
        <f>IF(VLOOKUP($A202,[1]FE!$A$2:$G$498,7,FALSE)="N/A","n/a",IFERROR(VLOOKUP($A202,[1]FE!$A$2:$G$498,7,FALSE),"n/a"))</f>
        <v>n/a</v>
      </c>
    </row>
    <row r="203" spans="1:24" ht="18.75">
      <c r="A203" s="129" t="s">
        <v>480</v>
      </c>
      <c r="B203" s="130" t="s">
        <v>298</v>
      </c>
      <c r="C203" s="131" t="str">
        <f>VLOOKUP(A203,'[1]mFund List'!$A$2:$B$311,2,FALSE)</f>
        <v>Invesco Wholesale Global Targeted Returns Fund - Class A</v>
      </c>
      <c r="D203" s="132"/>
      <c r="E203" s="116"/>
      <c r="F203" s="133" t="str">
        <f>_xlfn.IFNA(VLOOKUP(A203,'[1]mFund List'!$A$2:$I$200,6,FALSE),"n/a")</f>
        <v>0.95%</v>
      </c>
      <c r="G203" s="134">
        <f>_xlfn.IFNA(VLOOKUP(A203,'[1]mFund List'!$A$2:$J$200,8,FALSE)/1000000,"n/a")</f>
        <v>1.5518940268427999</v>
      </c>
      <c r="H203" s="135">
        <f>_xlfn.IFNA(VLOOKUP(A203,'[1]mFund List'!$A$2:$N$200,14,FALSE)/1000000,"n/a")</f>
        <v>0.19218020026040009</v>
      </c>
      <c r="I203" s="134">
        <f>_xlfn.IFNA(VLOOKUP(A203,'[1]mFund List'!$A$2:$R$200,18,FALSE)/1000000,"n/a")</f>
        <v>0.18953689966440013</v>
      </c>
      <c r="J203" s="136">
        <f>_xlfn.IFNA(VLOOKUP(A203,[1]IRESS!$A$10:$F$875,5,FALSE),"n/a")</f>
        <v>235228.51</v>
      </c>
      <c r="K203" s="137">
        <f>_xlfn.IFNA(VLOOKUP(A203,[1]IRESS!$A$11:$G$684,7,FALSE),"n/a")</f>
        <v>227302.43700000003</v>
      </c>
      <c r="L203" s="136">
        <f>_xlfn.IFNA(VLOOKUP(A203,[1]IRESS!$A$10:$F$875,4,FALSE),"n/a")</f>
        <v>8</v>
      </c>
      <c r="M203" s="138">
        <f t="shared" si="2"/>
        <v>0.15157511140019847</v>
      </c>
      <c r="N203" s="139" t="e">
        <f>VLOOKUP(A203,[1]Spreads!$A$1:$G$87,2,FALSE)</f>
        <v>#N/A</v>
      </c>
      <c r="O203" s="137" t="e">
        <f>VLOOKUP(A203,[1]Spreads!$A$1:$G$87,5,FALSE)/1000</f>
        <v>#N/A</v>
      </c>
      <c r="P203" s="140" t="e">
        <f>VLOOKUP(A203,[1]Spreads!$A$1:$G$87,6,FALSE)/1000</f>
        <v>#N/A</v>
      </c>
      <c r="R203" s="141">
        <f>_xlfn.IFNA(VLOOKUP($A203,[1]IRESS!$A$11:$AE$696,6,FALSE)/100,"n/a")</f>
        <v>1.0307999999999999</v>
      </c>
      <c r="S203" s="117"/>
      <c r="T203" s="142" t="str">
        <f>IF(VLOOKUP($A203,[1]FE!$A$2:$G$498,3,FALSE)="N/A","n/a",IFERROR(VLOOKUP($A203,[1]FE!$A$2:$G$498,3,FALSE),"n/a"))</f>
        <v>0.29%</v>
      </c>
      <c r="U203" s="138" t="str">
        <f>IF(VLOOKUP($A203,[1]FE!$A$2:$G$498,4,FALSE)="N/A","n/a",IFERROR(VLOOKUP($A203,[1]FE!$A$2:$G$498,4,FALSE),"n/a"))</f>
        <v>-0.28%</v>
      </c>
      <c r="V203" s="142" t="str">
        <f>IF(VLOOKUP($A203,[1]FE!$A$2:$G$498,5,FALSE)="N/A","n/a",IFERROR(VLOOKUP($A203,[1]FE!$A$2:$G$498,5,FALSE),"n/a"))</f>
        <v>-1.09%</v>
      </c>
      <c r="W203" s="138" t="str">
        <f>IF(VLOOKUP($A203,[1]FE!$A$2:$G$498,6,FALSE)="N/A","n/a",IFERROR(VLOOKUP($A203,[1]FE!$A$2:$G$498,6,FALSE),"n/a"))</f>
        <v>3.07%</v>
      </c>
      <c r="X203" s="142" t="str">
        <f>IF(VLOOKUP($A203,[1]FE!$A$2:$G$498,7,FALSE)="N/A","n/a",IFERROR(VLOOKUP($A203,[1]FE!$A$2:$G$498,7,FALSE),"n/a"))</f>
        <v>n/a</v>
      </c>
    </row>
    <row r="204" spans="1:24" ht="18.75">
      <c r="A204" s="129" t="s">
        <v>481</v>
      </c>
      <c r="B204" s="130" t="s">
        <v>298</v>
      </c>
      <c r="C204" s="131" t="str">
        <f>VLOOKUP(A204,'[1]mFund List'!$A$2:$B$311,2,FALSE)</f>
        <v>Morningstar Conservative Real Return Fund</v>
      </c>
      <c r="D204" s="132"/>
      <c r="E204" s="116"/>
      <c r="F204" s="133" t="str">
        <f>_xlfn.IFNA(VLOOKUP(A204,'[1]mFund List'!$A$2:$I$200,6,FALSE),"n/a")</f>
        <v>0.57%</v>
      </c>
      <c r="G204" s="134">
        <f>_xlfn.IFNA(VLOOKUP(A204,'[1]mFund List'!$A$2:$J$200,8,FALSE)/1000000,"n/a")</f>
        <v>0.21486223784319999</v>
      </c>
      <c r="H204" s="135">
        <f>_xlfn.IFNA(VLOOKUP(A204,'[1]mFund List'!$A$2:$N$200,14,FALSE)/1000000,"n/a")</f>
        <v>5.3392228039994365E-4</v>
      </c>
      <c r="I204" s="134">
        <f>_xlfn.IFNA(VLOOKUP(A204,'[1]mFund List'!$A$2:$R$200,18,FALSE)/1000000,"n/a")</f>
        <v>0</v>
      </c>
      <c r="J204" s="136" t="str">
        <f>_xlfn.IFNA(VLOOKUP(A204,[1]IRESS!$A$10:$F$875,5,FALSE),"n/a")</f>
        <v>0</v>
      </c>
      <c r="K204" s="137" t="str">
        <f>_xlfn.IFNA(VLOOKUP(A204,[1]IRESS!$A$11:$G$684,7,FALSE),"n/a")</f>
        <v>0</v>
      </c>
      <c r="L204" s="136" t="str">
        <f>_xlfn.IFNA(VLOOKUP(A204,[1]IRESS!$A$10:$F$875,4,FALSE),"n/a")</f>
        <v>0</v>
      </c>
      <c r="M204" s="138">
        <f t="shared" si="2"/>
        <v>0</v>
      </c>
      <c r="N204" s="139" t="e">
        <f>VLOOKUP(A204,[1]Spreads!$A$1:$G$87,2,FALSE)</f>
        <v>#N/A</v>
      </c>
      <c r="O204" s="137" t="e">
        <f>VLOOKUP(A204,[1]Spreads!$A$1:$G$87,5,FALSE)/1000</f>
        <v>#N/A</v>
      </c>
      <c r="P204" s="140" t="e">
        <f>VLOOKUP(A204,[1]Spreads!$A$1:$G$87,6,FALSE)/1000</f>
        <v>#N/A</v>
      </c>
      <c r="R204" s="141">
        <f>_xlfn.IFNA(VLOOKUP($A204,[1]IRESS!$A$11:$AE$696,6,FALSE)/100,"n/a")</f>
        <v>1.0100799999999999</v>
      </c>
      <c r="S204" s="117"/>
      <c r="T204" s="142" t="str">
        <f>IF(VLOOKUP($A204,[1]FE!$A$2:$G$498,3,FALSE)="N/A","n/a",IFERROR(VLOOKUP($A204,[1]FE!$A$2:$G$498,3,FALSE),"n/a"))</f>
        <v>0.25%</v>
      </c>
      <c r="U204" s="138" t="str">
        <f>IF(VLOOKUP($A204,[1]FE!$A$2:$G$498,4,FALSE)="N/A","n/a",IFERROR(VLOOKUP($A204,[1]FE!$A$2:$G$498,4,FALSE),"n/a"))</f>
        <v>0.45%</v>
      </c>
      <c r="V204" s="142" t="str">
        <f>IF(VLOOKUP($A204,[1]FE!$A$2:$G$498,5,FALSE)="N/A","n/a",IFERROR(VLOOKUP($A204,[1]FE!$A$2:$G$498,5,FALSE),"n/a"))</f>
        <v>3.99%</v>
      </c>
      <c r="W204" s="138" t="str">
        <f>IF(VLOOKUP($A204,[1]FE!$A$2:$G$498,6,FALSE)="N/A","n/a",IFERROR(VLOOKUP($A204,[1]FE!$A$2:$G$498,6,FALSE),"n/a"))</f>
        <v>4.06%</v>
      </c>
      <c r="X204" s="142" t="str">
        <f>IF(VLOOKUP($A204,[1]FE!$A$2:$G$498,7,FALSE)="N/A","n/a",IFERROR(VLOOKUP($A204,[1]FE!$A$2:$G$498,7,FALSE),"n/a"))</f>
        <v>5.14%</v>
      </c>
    </row>
    <row r="205" spans="1:24" ht="18.75">
      <c r="A205" s="129" t="s">
        <v>482</v>
      </c>
      <c r="B205" s="130" t="s">
        <v>298</v>
      </c>
      <c r="C205" s="131" t="str">
        <f>VLOOKUP(A205,'[1]mFund List'!$A$2:$B$311,2,FALSE)</f>
        <v>Morningstar Balanced Real Return Fund</v>
      </c>
      <c r="D205" s="132"/>
      <c r="E205" s="116"/>
      <c r="F205" s="133" t="str">
        <f>_xlfn.IFNA(VLOOKUP(A205,'[1]mFund List'!$A$2:$I$200,6,FALSE),"n/a")</f>
        <v>0.64%</v>
      </c>
      <c r="G205" s="134">
        <f>_xlfn.IFNA(VLOOKUP(A205,'[1]mFund List'!$A$2:$J$200,8,FALSE)/1000000,"n/a")</f>
        <v>4.5386971632758994</v>
      </c>
      <c r="H205" s="135">
        <f>_xlfn.IFNA(VLOOKUP(A205,'[1]mFund List'!$A$2:$N$200,14,FALSE)/1000000,"n/a")</f>
        <v>1.2096857947299257E-2</v>
      </c>
      <c r="I205" s="134">
        <f>_xlfn.IFNA(VLOOKUP(A205,'[1]mFund List'!$A$2:$R$200,18,FALSE)/1000000,"n/a")</f>
        <v>-5.0641776534998198E-3</v>
      </c>
      <c r="J205" s="136">
        <f>_xlfn.IFNA(VLOOKUP(A205,[1]IRESS!$A$10:$F$875,5,FALSE),"n/a")</f>
        <v>15000</v>
      </c>
      <c r="K205" s="137">
        <f>_xlfn.IFNA(VLOOKUP(A205,[1]IRESS!$A$11:$G$684,7,FALSE),"n/a")</f>
        <v>15532.45</v>
      </c>
      <c r="L205" s="136">
        <f>_xlfn.IFNA(VLOOKUP(A205,[1]IRESS!$A$10:$F$875,4,FALSE),"n/a")</f>
        <v>1</v>
      </c>
      <c r="M205" s="138">
        <f t="shared" si="2"/>
        <v>3.3049131634888453E-3</v>
      </c>
      <c r="N205" s="139" t="e">
        <f>VLOOKUP(A205,[1]Spreads!$A$1:$G$87,2,FALSE)</f>
        <v>#N/A</v>
      </c>
      <c r="O205" s="137" t="e">
        <f>VLOOKUP(A205,[1]Spreads!$A$1:$G$87,5,FALSE)/1000</f>
        <v>#N/A</v>
      </c>
      <c r="P205" s="140" t="e">
        <f>VLOOKUP(A205,[1]Spreads!$A$1:$G$87,6,FALSE)/1000</f>
        <v>#N/A</v>
      </c>
      <c r="R205" s="141">
        <f>_xlfn.IFNA(VLOOKUP($A205,[1]IRESS!$A$11:$AE$696,6,FALSE)/100,"n/a")</f>
        <v>0.9637699999999999</v>
      </c>
      <c r="S205" s="117"/>
      <c r="T205" s="142" t="str">
        <f>IF(VLOOKUP($A205,[1]FE!$A$2:$G$498,3,FALSE)="N/A","n/a",IFERROR(VLOOKUP($A205,[1]FE!$A$2:$G$498,3,FALSE),"n/a"))</f>
        <v>0.40%</v>
      </c>
      <c r="U205" s="138" t="str">
        <f>IF(VLOOKUP($A205,[1]FE!$A$2:$G$498,4,FALSE)="N/A","n/a",IFERROR(VLOOKUP($A205,[1]FE!$A$2:$G$498,4,FALSE),"n/a"))</f>
        <v>0.83%</v>
      </c>
      <c r="V205" s="142" t="str">
        <f>IF(VLOOKUP($A205,[1]FE!$A$2:$G$498,5,FALSE)="N/A","n/a",IFERROR(VLOOKUP($A205,[1]FE!$A$2:$G$498,5,FALSE),"n/a"))</f>
        <v>5.65%</v>
      </c>
      <c r="W205" s="138" t="str">
        <f>IF(VLOOKUP($A205,[1]FE!$A$2:$G$498,6,FALSE)="N/A","n/a",IFERROR(VLOOKUP($A205,[1]FE!$A$2:$G$498,6,FALSE),"n/a"))</f>
        <v>5.73%</v>
      </c>
      <c r="X205" s="142" t="str">
        <f>IF(VLOOKUP($A205,[1]FE!$A$2:$G$498,7,FALSE)="N/A","n/a",IFERROR(VLOOKUP($A205,[1]FE!$A$2:$G$498,7,FALSE),"n/a"))</f>
        <v>7.03%</v>
      </c>
    </row>
    <row r="206" spans="1:24" ht="18.75">
      <c r="A206" s="129" t="s">
        <v>483</v>
      </c>
      <c r="B206" s="130" t="s">
        <v>298</v>
      </c>
      <c r="C206" s="131" t="str">
        <f>VLOOKUP(A206,'[1]mFund List'!$A$2:$B$311,2,FALSE)</f>
        <v>Morningstar Growth Real Return Fund</v>
      </c>
      <c r="D206" s="132"/>
      <c r="E206" s="116"/>
      <c r="F206" s="133" t="str">
        <f>_xlfn.IFNA(VLOOKUP(A206,'[1]mFund List'!$A$2:$I$200,6,FALSE),"n/a")</f>
        <v>0.70%</v>
      </c>
      <c r="G206" s="134">
        <f>_xlfn.IFNA(VLOOKUP(A206,'[1]mFund List'!$A$2:$J$200,8,FALSE)/1000000,"n/a")</f>
        <v>3.9780568339950007</v>
      </c>
      <c r="H206" s="135">
        <f>_xlfn.IFNA(VLOOKUP(A206,'[1]mFund List'!$A$2:$N$200,14,FALSE)/1000000,"n/a")</f>
        <v>0.13881327786500053</v>
      </c>
      <c r="I206" s="134">
        <f>_xlfn.IFNA(VLOOKUP(A206,'[1]mFund List'!$A$2:$R$200,18,FALSE)/1000000,"n/a")</f>
        <v>0.11976521171000004</v>
      </c>
      <c r="J206" s="136">
        <f>_xlfn.IFNA(VLOOKUP(A206,[1]IRESS!$A$10:$F$875,5,FALSE),"n/a")</f>
        <v>120000</v>
      </c>
      <c r="K206" s="137">
        <f>_xlfn.IFNA(VLOOKUP(A206,[1]IRESS!$A$11:$G$684,7,FALSE),"n/a")</f>
        <v>131393.54</v>
      </c>
      <c r="L206" s="136">
        <f>_xlfn.IFNA(VLOOKUP(A206,[1]IRESS!$A$10:$F$875,4,FALSE),"n/a")</f>
        <v>3</v>
      </c>
      <c r="M206" s="138">
        <f t="shared" si="2"/>
        <v>3.0165481542275725E-2</v>
      </c>
      <c r="N206" s="139" t="e">
        <f>VLOOKUP(A206,[1]Spreads!$A$1:$G$87,2,FALSE)</f>
        <v>#N/A</v>
      </c>
      <c r="O206" s="137" t="e">
        <f>VLOOKUP(A206,[1]Spreads!$A$1:$G$87,5,FALSE)/1000</f>
        <v>#N/A</v>
      </c>
      <c r="P206" s="140" t="e">
        <f>VLOOKUP(A206,[1]Spreads!$A$1:$G$87,6,FALSE)/1000</f>
        <v>#N/A</v>
      </c>
      <c r="R206" s="141">
        <f>_xlfn.IFNA(VLOOKUP($A206,[1]IRESS!$A$11:$AE$696,6,FALSE)/100,"n/a")</f>
        <v>0.91150000000000009</v>
      </c>
      <c r="S206" s="117"/>
      <c r="T206" s="142" t="str">
        <f>IF(VLOOKUP($A206,[1]FE!$A$2:$G$498,3,FALSE)="N/A","n/a",IFERROR(VLOOKUP($A206,[1]FE!$A$2:$G$498,3,FALSE),"n/a"))</f>
        <v>0.52%</v>
      </c>
      <c r="U206" s="138" t="str">
        <f>IF(VLOOKUP($A206,[1]FE!$A$2:$G$498,4,FALSE)="N/A","n/a",IFERROR(VLOOKUP($A206,[1]FE!$A$2:$G$498,4,FALSE),"n/a"))</f>
        <v>1.17%</v>
      </c>
      <c r="V206" s="142" t="str">
        <f>IF(VLOOKUP($A206,[1]FE!$A$2:$G$498,5,FALSE)="N/A","n/a",IFERROR(VLOOKUP($A206,[1]FE!$A$2:$G$498,5,FALSE),"n/a"))</f>
        <v>6.82%</v>
      </c>
      <c r="W206" s="138" t="str">
        <f>IF(VLOOKUP($A206,[1]FE!$A$2:$G$498,6,FALSE)="N/A","n/a",IFERROR(VLOOKUP($A206,[1]FE!$A$2:$G$498,6,FALSE),"n/a"))</f>
        <v>6.85%</v>
      </c>
      <c r="X206" s="142" t="str">
        <f>IF(VLOOKUP($A206,[1]FE!$A$2:$G$498,7,FALSE)="N/A","n/a",IFERROR(VLOOKUP($A206,[1]FE!$A$2:$G$498,7,FALSE),"n/a"))</f>
        <v>8.43%</v>
      </c>
    </row>
    <row r="207" spans="1:24" ht="18.75">
      <c r="A207" s="129" t="s">
        <v>484</v>
      </c>
      <c r="B207" s="130" t="s">
        <v>298</v>
      </c>
      <c r="C207" s="131" t="str">
        <f>VLOOKUP(A207,'[1]mFund List'!$A$2:$B$311,2,FALSE)</f>
        <v>Morningstar High Growth Real Return Fund</v>
      </c>
      <c r="D207" s="132"/>
      <c r="E207" s="116"/>
      <c r="F207" s="133" t="str">
        <f>_xlfn.IFNA(VLOOKUP(A207,'[1]mFund List'!$A$2:$I$200,6,FALSE),"n/a")</f>
        <v>0.76%</v>
      </c>
      <c r="G207" s="134">
        <f>_xlfn.IFNA(VLOOKUP(A207,'[1]mFund List'!$A$2:$J$200,8,FALSE)/1000000,"n/a")</f>
        <v>2.8281718323695397</v>
      </c>
      <c r="H207" s="135">
        <f>_xlfn.IFNA(VLOOKUP(A207,'[1]mFund List'!$A$2:$N$200,14,FALSE)/1000000,"n/a")</f>
        <v>0.33662931895547266</v>
      </c>
      <c r="I207" s="134">
        <f>_xlfn.IFNA(VLOOKUP(A207,'[1]mFund List'!$A$2:$R$200,18,FALSE)/1000000,"n/a")</f>
        <v>0.31914655168999956</v>
      </c>
      <c r="J207" s="136">
        <f>_xlfn.IFNA(VLOOKUP(A207,[1]IRESS!$A$10:$F$875,5,FALSE),"n/a")</f>
        <v>347227.15</v>
      </c>
      <c r="K207" s="137">
        <f>_xlfn.IFNA(VLOOKUP(A207,[1]IRESS!$A$11:$G$684,7,FALSE),"n/a")</f>
        <v>372714.5</v>
      </c>
      <c r="L207" s="136">
        <f>_xlfn.IFNA(VLOOKUP(A207,[1]IRESS!$A$10:$F$875,4,FALSE),"n/a")</f>
        <v>8</v>
      </c>
      <c r="M207" s="138">
        <f t="shared" ref="M207:M228" si="3">+J207/(G207*1000000)</f>
        <v>0.12277441774429991</v>
      </c>
      <c r="N207" s="139" t="e">
        <f>VLOOKUP(A207,[1]Spreads!$A$1:$G$87,2,FALSE)</f>
        <v>#N/A</v>
      </c>
      <c r="O207" s="137" t="e">
        <f>VLOOKUP(A207,[1]Spreads!$A$1:$G$87,5,FALSE)/1000</f>
        <v>#N/A</v>
      </c>
      <c r="P207" s="140" t="e">
        <f>VLOOKUP(A207,[1]Spreads!$A$1:$G$87,6,FALSE)/1000</f>
        <v>#N/A</v>
      </c>
      <c r="R207" s="141">
        <f>_xlfn.IFNA(VLOOKUP($A207,[1]IRESS!$A$11:$AE$696,6,FALSE)/100,"n/a")</f>
        <v>0.90988000000000002</v>
      </c>
      <c r="S207" s="117"/>
      <c r="T207" s="142" t="str">
        <f>IF(VLOOKUP($A207,[1]FE!$A$2:$G$498,3,FALSE)="N/A","n/a",IFERROR(VLOOKUP($A207,[1]FE!$A$2:$G$498,3,FALSE),"n/a"))</f>
        <v>0.74%</v>
      </c>
      <c r="U207" s="138" t="str">
        <f>IF(VLOOKUP($A207,[1]FE!$A$2:$G$498,4,FALSE)="N/A","n/a",IFERROR(VLOOKUP($A207,[1]FE!$A$2:$G$498,4,FALSE),"n/a"))</f>
        <v>1.65%</v>
      </c>
      <c r="V207" s="142" t="str">
        <f>IF(VLOOKUP($A207,[1]FE!$A$2:$G$498,5,FALSE)="N/A","n/a",IFERROR(VLOOKUP($A207,[1]FE!$A$2:$G$498,5,FALSE),"n/a"))</f>
        <v>7.97%</v>
      </c>
      <c r="W207" s="138" t="str">
        <f>IF(VLOOKUP($A207,[1]FE!$A$2:$G$498,6,FALSE)="N/A","n/a",IFERROR(VLOOKUP($A207,[1]FE!$A$2:$G$498,6,FALSE),"n/a"))</f>
        <v>8.53%</v>
      </c>
      <c r="X207" s="142" t="str">
        <f>IF(VLOOKUP($A207,[1]FE!$A$2:$G$498,7,FALSE)="N/A","n/a",IFERROR(VLOOKUP($A207,[1]FE!$A$2:$G$498,7,FALSE),"n/a"))</f>
        <v>9.78%</v>
      </c>
    </row>
    <row r="208" spans="1:24" ht="18.75">
      <c r="A208" s="129" t="s">
        <v>485</v>
      </c>
      <c r="B208" s="130" t="s">
        <v>298</v>
      </c>
      <c r="C208" s="131" t="str">
        <f>VLOOKUP(A208,'[1]mFund List'!$A$2:$B$311,2,FALSE)</f>
        <v>Morningstar Multi Asset Real Return A</v>
      </c>
      <c r="D208" s="132"/>
      <c r="E208" s="116"/>
      <c r="F208" s="133" t="str">
        <f>_xlfn.IFNA(VLOOKUP(A208,'[1]mFund List'!$A$2:$I$200,6,FALSE),"n/a")</f>
        <v>0.72%</v>
      </c>
      <c r="G208" s="134">
        <f>_xlfn.IFNA(VLOOKUP(A208,'[1]mFund List'!$A$2:$J$200,8,FALSE)/1000000,"n/a")</f>
        <v>0.69578057552080008</v>
      </c>
      <c r="H208" s="135">
        <f>_xlfn.IFNA(VLOOKUP(A208,'[1]mFund List'!$A$2:$N$200,14,FALSE)/1000000,"n/a")</f>
        <v>6.397534056399995E-2</v>
      </c>
      <c r="I208" s="134">
        <f>_xlfn.IFNA(VLOOKUP(A208,'[1]mFund List'!$A$2:$R$200,18,FALSE)/1000000,"n/a")</f>
        <v>6.0021553051200001E-2</v>
      </c>
      <c r="J208" s="136">
        <f>_xlfn.IFNA(VLOOKUP(A208,[1]IRESS!$A$10:$F$875,5,FALSE),"n/a")</f>
        <v>60000</v>
      </c>
      <c r="K208" s="137">
        <f>_xlfn.IFNA(VLOOKUP(A208,[1]IRESS!$A$11:$G$684,7,FALSE),"n/a")</f>
        <v>59062.380000000005</v>
      </c>
      <c r="L208" s="136">
        <f>_xlfn.IFNA(VLOOKUP(A208,[1]IRESS!$A$10:$F$875,4,FALSE),"n/a")</f>
        <v>3</v>
      </c>
      <c r="M208" s="138">
        <f t="shared" si="3"/>
        <v>8.623408314480363E-2</v>
      </c>
      <c r="N208" s="139" t="e">
        <f>VLOOKUP(A208,[1]Spreads!$A$1:$G$87,2,FALSE)</f>
        <v>#N/A</v>
      </c>
      <c r="O208" s="137" t="e">
        <f>VLOOKUP(A208,[1]Spreads!$A$1:$G$87,5,FALSE)/1000</f>
        <v>#N/A</v>
      </c>
      <c r="P208" s="140" t="e">
        <f>VLOOKUP(A208,[1]Spreads!$A$1:$G$87,6,FALSE)/1000</f>
        <v>#N/A</v>
      </c>
      <c r="R208" s="141">
        <f>_xlfn.IFNA(VLOOKUP($A208,[1]IRESS!$A$11:$AE$696,6,FALSE)/100,"n/a")</f>
        <v>1.01624</v>
      </c>
      <c r="S208" s="117"/>
      <c r="T208" s="142" t="str">
        <f>IF(VLOOKUP($A208,[1]FE!$A$2:$G$498,3,FALSE)="N/A","n/a",IFERROR(VLOOKUP($A208,[1]FE!$A$2:$G$498,3,FALSE),"n/a"))</f>
        <v>0.60%</v>
      </c>
      <c r="U208" s="138" t="str">
        <f>IF(VLOOKUP($A208,[1]FE!$A$2:$G$498,4,FALSE)="N/A","n/a",IFERROR(VLOOKUP($A208,[1]FE!$A$2:$G$498,4,FALSE),"n/a"))</f>
        <v>0.46%</v>
      </c>
      <c r="V208" s="142" t="str">
        <f>IF(VLOOKUP($A208,[1]FE!$A$2:$G$498,5,FALSE)="N/A","n/a",IFERROR(VLOOKUP($A208,[1]FE!$A$2:$G$498,5,FALSE),"n/a"))</f>
        <v>6.69%</v>
      </c>
      <c r="W208" s="138" t="str">
        <f>IF(VLOOKUP($A208,[1]FE!$A$2:$G$498,6,FALSE)="N/A","n/a",IFERROR(VLOOKUP($A208,[1]FE!$A$2:$G$498,6,FALSE),"n/a"))</f>
        <v>7.59%</v>
      </c>
      <c r="X208" s="142" t="str">
        <f>IF(VLOOKUP($A208,[1]FE!$A$2:$G$498,7,FALSE)="N/A","n/a",IFERROR(VLOOKUP($A208,[1]FE!$A$2:$G$498,7,FALSE),"n/a"))</f>
        <v>9.69%</v>
      </c>
    </row>
    <row r="209" spans="1:24" ht="18.75">
      <c r="A209" s="129" t="s">
        <v>486</v>
      </c>
      <c r="B209" s="130" t="s">
        <v>298</v>
      </c>
      <c r="C209" s="131" t="str">
        <f>VLOOKUP(A209,'[1]mFund List'!$A$2:$B$311,2,FALSE)</f>
        <v xml:space="preserve">JPMorgan Systematic Alpha Fund </v>
      </c>
      <c r="D209" s="132"/>
      <c r="E209" s="116"/>
      <c r="F209" s="133" t="str">
        <f>_xlfn.IFNA(VLOOKUP(A209,'[1]mFund List'!$A$2:$I$200,6,FALSE),"n/a")</f>
        <v>0.90%</v>
      </c>
      <c r="G209" s="134">
        <f>_xlfn.IFNA(VLOOKUP(A209,'[1]mFund List'!$A$2:$J$200,8,FALSE)/1000000,"n/a")</f>
        <v>0</v>
      </c>
      <c r="H209" s="135">
        <f>_xlfn.IFNA(VLOOKUP(A209,'[1]mFund List'!$A$2:$N$200,14,FALSE)/1000000,"n/a")</f>
        <v>0</v>
      </c>
      <c r="I209" s="134">
        <f>_xlfn.IFNA(VLOOKUP(A209,'[1]mFund List'!$A$2:$R$200,18,FALSE)/1000000,"n/a")</f>
        <v>0</v>
      </c>
      <c r="J209" s="136" t="str">
        <f>_xlfn.IFNA(VLOOKUP(A209,[1]IRESS!$A$10:$F$875,5,FALSE),"n/a")</f>
        <v>0</v>
      </c>
      <c r="K209" s="137" t="str">
        <f>_xlfn.IFNA(VLOOKUP(A209,[1]IRESS!$A$11:$G$684,7,FALSE),"n/a")</f>
        <v>0</v>
      </c>
      <c r="L209" s="136" t="str">
        <f>_xlfn.IFNA(VLOOKUP(A209,[1]IRESS!$A$10:$F$875,4,FALSE),"n/a")</f>
        <v>0</v>
      </c>
      <c r="M209" s="138" t="e">
        <f t="shared" si="3"/>
        <v>#DIV/0!</v>
      </c>
      <c r="N209" s="139" t="e">
        <f>VLOOKUP(A209,[1]Spreads!$A$1:$G$87,2,FALSE)</f>
        <v>#N/A</v>
      </c>
      <c r="O209" s="137" t="e">
        <f>VLOOKUP(A209,[1]Spreads!$A$1:$G$87,5,FALSE)/1000</f>
        <v>#N/A</v>
      </c>
      <c r="P209" s="140" t="e">
        <f>VLOOKUP(A209,[1]Spreads!$A$1:$G$87,6,FALSE)/1000</f>
        <v>#N/A</v>
      </c>
      <c r="R209" s="141">
        <f>_xlfn.IFNA(VLOOKUP($A209,[1]IRESS!$A$11:$AE$696,6,FALSE)/100,"n/a")</f>
        <v>0.99730000000000008</v>
      </c>
      <c r="S209" s="117"/>
      <c r="T209" s="142" t="str">
        <f>IF(VLOOKUP($A209,[1]FE!$A$2:$G$498,3,FALSE)="N/A","n/a",IFERROR(VLOOKUP($A209,[1]FE!$A$2:$G$498,3,FALSE),"n/a"))</f>
        <v>0.02%</v>
      </c>
      <c r="U209" s="138" t="str">
        <f>IF(VLOOKUP($A209,[1]FE!$A$2:$G$498,4,FALSE)="N/A","n/a",IFERROR(VLOOKUP($A209,[1]FE!$A$2:$G$498,4,FALSE),"n/a"))</f>
        <v>-1.33%</v>
      </c>
      <c r="V209" s="142" t="str">
        <f>IF(VLOOKUP($A209,[1]FE!$A$2:$G$498,5,FALSE)="N/A","n/a",IFERROR(VLOOKUP($A209,[1]FE!$A$2:$G$498,5,FALSE),"n/a"))</f>
        <v>-5.60%</v>
      </c>
      <c r="W209" s="138" t="str">
        <f>IF(VLOOKUP($A209,[1]FE!$A$2:$G$498,6,FALSE)="N/A","n/a",IFERROR(VLOOKUP($A209,[1]FE!$A$2:$G$498,6,FALSE),"n/a"))</f>
        <v>n/a</v>
      </c>
      <c r="X209" s="142" t="str">
        <f>IF(VLOOKUP($A209,[1]FE!$A$2:$G$498,7,FALSE)="N/A","n/a",IFERROR(VLOOKUP($A209,[1]FE!$A$2:$G$498,7,FALSE),"n/a"))</f>
        <v>n/a</v>
      </c>
    </row>
    <row r="210" spans="1:24" ht="18.75">
      <c r="A210" s="129" t="s">
        <v>487</v>
      </c>
      <c r="B210" s="130" t="s">
        <v>298</v>
      </c>
      <c r="C210" s="131" t="str">
        <f>VLOOKUP(A210,'[1]mFund List'!$A$2:$B$311,2,FALSE)</f>
        <v xml:space="preserve">JPMorgan Global Macro Opportunities Fund </v>
      </c>
      <c r="D210" s="132"/>
      <c r="E210" s="116"/>
      <c r="F210" s="133" t="str">
        <f>_xlfn.IFNA(VLOOKUP(A210,'[1]mFund List'!$A$2:$I$200,6,FALSE),"n/a")</f>
        <v>0.70%</v>
      </c>
      <c r="G210" s="134">
        <f>_xlfn.IFNA(VLOOKUP(A210,'[1]mFund List'!$A$2:$J$200,8,FALSE)/1000000,"n/a")</f>
        <v>0.46430443315350001</v>
      </c>
      <c r="H210" s="135">
        <f>_xlfn.IFNA(VLOOKUP(A210,'[1]mFund List'!$A$2:$N$200,14,FALSE)/1000000,"n/a")</f>
        <v>4.1427262016999998E-2</v>
      </c>
      <c r="I210" s="134">
        <f>_xlfn.IFNA(VLOOKUP(A210,'[1]mFund List'!$A$2:$R$200,18,FALSE)/1000000,"n/a")</f>
        <v>5.0081898420000014E-2</v>
      </c>
      <c r="J210" s="136">
        <f>_xlfn.IFNA(VLOOKUP(A210,[1]IRESS!$A$10:$F$875,5,FALSE),"n/a")</f>
        <v>78333.08</v>
      </c>
      <c r="K210" s="137">
        <f>_xlfn.IFNA(VLOOKUP(A210,[1]IRESS!$A$11:$G$684,7,FALSE),"n/a")</f>
        <v>68350.290999999997</v>
      </c>
      <c r="L210" s="136">
        <f>_xlfn.IFNA(VLOOKUP(A210,[1]IRESS!$A$10:$F$875,4,FALSE),"n/a")</f>
        <v>2</v>
      </c>
      <c r="M210" s="138">
        <f t="shared" si="3"/>
        <v>0.16871060107690791</v>
      </c>
      <c r="N210" s="139" t="e">
        <f>VLOOKUP(A210,[1]Spreads!$A$1:$G$87,2,FALSE)</f>
        <v>#N/A</v>
      </c>
      <c r="O210" s="137" t="e">
        <f>VLOOKUP(A210,[1]Spreads!$A$1:$G$87,5,FALSE)/1000</f>
        <v>#N/A</v>
      </c>
      <c r="P210" s="140" t="e">
        <f>VLOOKUP(A210,[1]Spreads!$A$1:$G$87,6,FALSE)/1000</f>
        <v>#N/A</v>
      </c>
      <c r="R210" s="141">
        <f>_xlfn.IFNA(VLOOKUP($A210,[1]IRESS!$A$11:$AE$696,6,FALSE)/100,"n/a")</f>
        <v>1.1391</v>
      </c>
      <c r="S210" s="117"/>
      <c r="T210" s="142" t="str">
        <f>IF(VLOOKUP($A210,[1]FE!$A$2:$G$498,3,FALSE)="N/A","n/a",IFERROR(VLOOKUP($A210,[1]FE!$A$2:$G$498,3,FALSE),"n/a"))</f>
        <v>-2.05%</v>
      </c>
      <c r="U210" s="138" t="str">
        <f>IF(VLOOKUP($A210,[1]FE!$A$2:$G$498,4,FALSE)="N/A","n/a",IFERROR(VLOOKUP($A210,[1]FE!$A$2:$G$498,4,FALSE),"n/a"))</f>
        <v>-2.26%</v>
      </c>
      <c r="V210" s="142" t="str">
        <f>IF(VLOOKUP($A210,[1]FE!$A$2:$G$498,5,FALSE)="N/A","n/a",IFERROR(VLOOKUP($A210,[1]FE!$A$2:$G$498,5,FALSE),"n/a"))</f>
        <v>13.27%</v>
      </c>
      <c r="W210" s="138" t="str">
        <f>IF(VLOOKUP($A210,[1]FE!$A$2:$G$498,6,FALSE)="N/A","n/a",IFERROR(VLOOKUP($A210,[1]FE!$A$2:$G$498,6,FALSE),"n/a"))</f>
        <v>n/a</v>
      </c>
      <c r="X210" s="142" t="str">
        <f>IF(VLOOKUP($A210,[1]FE!$A$2:$G$498,7,FALSE)="N/A","n/a",IFERROR(VLOOKUP($A210,[1]FE!$A$2:$G$498,7,FALSE),"n/a"))</f>
        <v>n/a</v>
      </c>
    </row>
    <row r="211" spans="1:24" ht="18.75">
      <c r="A211" s="129" t="s">
        <v>488</v>
      </c>
      <c r="B211" s="130" t="s">
        <v>298</v>
      </c>
      <c r="C211" s="131" t="str">
        <f>VLOOKUP(A211,'[1]mFund List'!$A$2:$B$311,2,FALSE)</f>
        <v>Legg Mason Martin Currie Diversified Income Trust</v>
      </c>
      <c r="D211" s="132"/>
      <c r="E211" s="116"/>
      <c r="F211" s="133" t="str">
        <f>_xlfn.IFNA(VLOOKUP(A211,'[1]mFund List'!$A$2:$I$200,6,FALSE),"n/a")</f>
        <v>0.80%</v>
      </c>
      <c r="G211" s="134">
        <f>_xlfn.IFNA(VLOOKUP(A211,'[1]mFund List'!$A$2:$J$200,8,FALSE)/1000000,"n/a")</f>
        <v>2.5654865163801599</v>
      </c>
      <c r="H211" s="135">
        <f>_xlfn.IFNA(VLOOKUP(A211,'[1]mFund List'!$A$2:$N$200,14,FALSE)/1000000,"n/a")</f>
        <v>0.41188920191306994</v>
      </c>
      <c r="I211" s="134">
        <f>_xlfn.IFNA(VLOOKUP(A211,'[1]mFund List'!$A$2:$R$200,18,FALSE)/1000000,"n/a")</f>
        <v>0.37092905808983989</v>
      </c>
      <c r="J211" s="136">
        <f>_xlfn.IFNA(VLOOKUP(A211,[1]IRESS!$A$10:$F$875,5,FALSE),"n/a")</f>
        <v>478935.27</v>
      </c>
      <c r="K211" s="137">
        <f>_xlfn.IFNA(VLOOKUP(A211,[1]IRESS!$A$11:$G$684,7,FALSE),"n/a")</f>
        <v>437798.67299999995</v>
      </c>
      <c r="L211" s="136">
        <f>_xlfn.IFNA(VLOOKUP(A211,[1]IRESS!$A$10:$F$875,4,FALSE),"n/a")</f>
        <v>4</v>
      </c>
      <c r="M211" s="138">
        <f t="shared" si="3"/>
        <v>0.18668399422179235</v>
      </c>
      <c r="N211" s="139" t="e">
        <f>VLOOKUP(A211,[1]Spreads!$A$1:$G$87,2,FALSE)</f>
        <v>#N/A</v>
      </c>
      <c r="O211" s="137" t="e">
        <f>VLOOKUP(A211,[1]Spreads!$A$1:$G$87,5,FALSE)/1000</f>
        <v>#N/A</v>
      </c>
      <c r="P211" s="140" t="e">
        <f>VLOOKUP(A211,[1]Spreads!$A$1:$G$87,6,FALSE)/1000</f>
        <v>#N/A</v>
      </c>
      <c r="R211" s="141">
        <f>_xlfn.IFNA(VLOOKUP($A211,[1]IRESS!$A$11:$AE$696,6,FALSE)/100,"n/a")</f>
        <v>1.1042400000000001</v>
      </c>
      <c r="S211" s="117"/>
      <c r="T211" s="142" t="str">
        <f>IF(VLOOKUP($A211,[1]FE!$A$2:$G$498,3,FALSE)="N/A","n/a",IFERROR(VLOOKUP($A211,[1]FE!$A$2:$G$498,3,FALSE),"n/a"))</f>
        <v>1.90%</v>
      </c>
      <c r="U211" s="138" t="str">
        <f>IF(VLOOKUP($A211,[1]FE!$A$2:$G$498,4,FALSE)="N/A","n/a",IFERROR(VLOOKUP($A211,[1]FE!$A$2:$G$498,4,FALSE),"n/a"))</f>
        <v>3.88%</v>
      </c>
      <c r="V211" s="142" t="str">
        <f>IF(VLOOKUP($A211,[1]FE!$A$2:$G$498,5,FALSE)="N/A","n/a",IFERROR(VLOOKUP($A211,[1]FE!$A$2:$G$498,5,FALSE),"n/a"))</f>
        <v>5.04%</v>
      </c>
      <c r="W211" s="138" t="str">
        <f>IF(VLOOKUP($A211,[1]FE!$A$2:$G$498,6,FALSE)="N/A","n/a",IFERROR(VLOOKUP($A211,[1]FE!$A$2:$G$498,6,FALSE),"n/a"))</f>
        <v>9.10%</v>
      </c>
      <c r="X211" s="142" t="str">
        <f>IF(VLOOKUP($A211,[1]FE!$A$2:$G$498,7,FALSE)="N/A","n/a",IFERROR(VLOOKUP($A211,[1]FE!$A$2:$G$498,7,FALSE),"n/a"))</f>
        <v>n/a</v>
      </c>
    </row>
    <row r="212" spans="1:24" ht="18.75">
      <c r="A212" s="129" t="s">
        <v>489</v>
      </c>
      <c r="B212" s="130" t="s">
        <v>298</v>
      </c>
      <c r="C212" s="131" t="str">
        <f>VLOOKUP(A212,'[1]mFund List'!$A$2:$B$311,2,FALSE)</f>
        <v>Legg Mason Martin Currie Diversified Growth Trust</v>
      </c>
      <c r="D212" s="132"/>
      <c r="E212" s="116"/>
      <c r="F212" s="133" t="str">
        <f>_xlfn.IFNA(VLOOKUP(A212,'[1]mFund List'!$A$2:$I$200,6,FALSE),"n/a")</f>
        <v>0.64%</v>
      </c>
      <c r="G212" s="134">
        <f>_xlfn.IFNA(VLOOKUP(A212,'[1]mFund List'!$A$2:$J$200,8,FALSE)/1000000,"n/a")</f>
        <v>0.99185121284580013</v>
      </c>
      <c r="H212" s="135">
        <f>_xlfn.IFNA(VLOOKUP(A212,'[1]mFund List'!$A$2:$N$200,14,FALSE)/1000000,"n/a")</f>
        <v>0.25125750119916013</v>
      </c>
      <c r="I212" s="134">
        <f>_xlfn.IFNA(VLOOKUP(A212,'[1]mFund List'!$A$2:$R$200,18,FALSE)/1000000,"n/a")</f>
        <v>0.24034206507498013</v>
      </c>
      <c r="J212" s="136">
        <f>_xlfn.IFNA(VLOOKUP(A212,[1]IRESS!$A$10:$F$875,5,FALSE),"n/a")</f>
        <v>239200</v>
      </c>
      <c r="K212" s="137">
        <f>_xlfn.IFNA(VLOOKUP(A212,[1]IRESS!$A$11:$G$684,7,FALSE),"n/a")</f>
        <v>220663.31099999999</v>
      </c>
      <c r="L212" s="136">
        <f>_xlfn.IFNA(VLOOKUP(A212,[1]IRESS!$A$10:$F$875,4,FALSE),"n/a")</f>
        <v>3</v>
      </c>
      <c r="M212" s="138">
        <f t="shared" si="3"/>
        <v>0.24116520391570834</v>
      </c>
      <c r="N212" s="139" t="e">
        <f>VLOOKUP(A212,[1]Spreads!$A$1:$G$87,2,FALSE)</f>
        <v>#N/A</v>
      </c>
      <c r="O212" s="137" t="e">
        <f>VLOOKUP(A212,[1]Spreads!$A$1:$G$87,5,FALSE)/1000</f>
        <v>#N/A</v>
      </c>
      <c r="P212" s="140" t="e">
        <f>VLOOKUP(A212,[1]Spreads!$A$1:$G$87,6,FALSE)/1000</f>
        <v>#N/A</v>
      </c>
      <c r="R212" s="141">
        <f>_xlfn.IFNA(VLOOKUP($A212,[1]IRESS!$A$11:$AE$696,6,FALSE)/100,"n/a")</f>
        <v>1.08918</v>
      </c>
      <c r="S212" s="117"/>
      <c r="T212" s="142" t="str">
        <f>IF(VLOOKUP($A212,[1]FE!$A$2:$G$498,3,FALSE)="N/A","n/a",IFERROR(VLOOKUP($A212,[1]FE!$A$2:$G$498,3,FALSE),"n/a"))</f>
        <v>1.47%</v>
      </c>
      <c r="U212" s="138" t="str">
        <f>IF(VLOOKUP($A212,[1]FE!$A$2:$G$498,4,FALSE)="N/A","n/a",IFERROR(VLOOKUP($A212,[1]FE!$A$2:$G$498,4,FALSE),"n/a"))</f>
        <v>3.19%</v>
      </c>
      <c r="V212" s="142" t="str">
        <f>IF(VLOOKUP($A212,[1]FE!$A$2:$G$498,5,FALSE)="N/A","n/a",IFERROR(VLOOKUP($A212,[1]FE!$A$2:$G$498,5,FALSE),"n/a"))</f>
        <v>8.36%</v>
      </c>
      <c r="W212" s="138" t="str">
        <f>IF(VLOOKUP($A212,[1]FE!$A$2:$G$498,6,FALSE)="N/A","n/a",IFERROR(VLOOKUP($A212,[1]FE!$A$2:$G$498,6,FALSE),"n/a"))</f>
        <v>7.93%</v>
      </c>
      <c r="X212" s="142" t="str">
        <f>IF(VLOOKUP($A212,[1]FE!$A$2:$G$498,7,FALSE)="N/A","n/a",IFERROR(VLOOKUP($A212,[1]FE!$A$2:$G$498,7,FALSE),"n/a"))</f>
        <v>10.54%</v>
      </c>
    </row>
    <row r="213" spans="1:24" ht="18.75">
      <c r="A213" s="129" t="s">
        <v>490</v>
      </c>
      <c r="B213" s="130" t="s">
        <v>298</v>
      </c>
      <c r="C213" s="131" t="str">
        <f>VLOOKUP(A213,'[1]mFund List'!$A$2:$B$311,2,FALSE)</f>
        <v>MLC WS Inflation Plus - Conservative Portfolio</v>
      </c>
      <c r="D213" s="132"/>
      <c r="E213" s="116"/>
      <c r="F213" s="133" t="str">
        <f>_xlfn.IFNA(VLOOKUP(A213,'[1]mFund List'!$A$2:$I$200,6,FALSE),"n/a")</f>
        <v>0.75%</v>
      </c>
      <c r="G213" s="134">
        <f>_xlfn.IFNA(VLOOKUP(A213,'[1]mFund List'!$A$2:$J$200,8,FALSE)/1000000,"n/a")</f>
        <v>3.7545714771660001E-2</v>
      </c>
      <c r="H213" s="135">
        <f>_xlfn.IFNA(VLOOKUP(A213,'[1]mFund List'!$A$2:$N$200,14,FALSE)/1000000,"n/a")</f>
        <v>1.4800116367000009E-4</v>
      </c>
      <c r="I213" s="134">
        <f>_xlfn.IFNA(VLOOKUP(A213,'[1]mFund List'!$A$2:$R$200,18,FALSE)/1000000,"n/a")</f>
        <v>0</v>
      </c>
      <c r="J213" s="136" t="str">
        <f>_xlfn.IFNA(VLOOKUP(A213,[1]IRESS!$A$10:$F$875,5,FALSE),"n/a")</f>
        <v>0</v>
      </c>
      <c r="K213" s="137" t="str">
        <f>_xlfn.IFNA(VLOOKUP(A213,[1]IRESS!$A$11:$G$684,7,FALSE),"n/a")</f>
        <v>0</v>
      </c>
      <c r="L213" s="136" t="str">
        <f>_xlfn.IFNA(VLOOKUP(A213,[1]IRESS!$A$10:$F$875,4,FALSE),"n/a")</f>
        <v>0</v>
      </c>
      <c r="M213" s="138">
        <f t="shared" si="3"/>
        <v>0</v>
      </c>
      <c r="N213" s="139" t="e">
        <f>VLOOKUP(A213,[1]Spreads!$A$1:$G$87,2,FALSE)</f>
        <v>#N/A</v>
      </c>
      <c r="O213" s="137" t="e">
        <f>VLOOKUP(A213,[1]Spreads!$A$1:$G$87,5,FALSE)/1000</f>
        <v>#N/A</v>
      </c>
      <c r="P213" s="140" t="e">
        <f>VLOOKUP(A213,[1]Spreads!$A$1:$G$87,6,FALSE)/1000</f>
        <v>#N/A</v>
      </c>
      <c r="R213" s="141">
        <f>_xlfn.IFNA(VLOOKUP($A213,[1]IRESS!$A$11:$AE$696,6,FALSE)/100,"n/a")</f>
        <v>1.0865340000000001</v>
      </c>
      <c r="S213" s="117"/>
      <c r="T213" s="142" t="str">
        <f>IF(VLOOKUP($A213,[1]FE!$A$2:$G$498,3,FALSE)="N/A","n/a",IFERROR(VLOOKUP($A213,[1]FE!$A$2:$G$498,3,FALSE),"n/a"))</f>
        <v>0.39%</v>
      </c>
      <c r="U213" s="138" t="str">
        <f>IF(VLOOKUP($A213,[1]FE!$A$2:$G$498,4,FALSE)="N/A","n/a",IFERROR(VLOOKUP($A213,[1]FE!$A$2:$G$498,4,FALSE),"n/a"))</f>
        <v>0.70%</v>
      </c>
      <c r="V213" s="142" t="str">
        <f>IF(VLOOKUP($A213,[1]FE!$A$2:$G$498,5,FALSE)="N/A","n/a",IFERROR(VLOOKUP($A213,[1]FE!$A$2:$G$498,5,FALSE),"n/a"))</f>
        <v>3.30%</v>
      </c>
      <c r="W213" s="138" t="str">
        <f>IF(VLOOKUP($A213,[1]FE!$A$2:$G$498,6,FALSE)="N/A","n/a",IFERROR(VLOOKUP($A213,[1]FE!$A$2:$G$498,6,FALSE),"n/a"))</f>
        <v>2.87%</v>
      </c>
      <c r="X213" s="142" t="str">
        <f>IF(VLOOKUP($A213,[1]FE!$A$2:$G$498,7,FALSE)="N/A","n/a",IFERROR(VLOOKUP($A213,[1]FE!$A$2:$G$498,7,FALSE),"n/a"))</f>
        <v>n/a</v>
      </c>
    </row>
    <row r="214" spans="1:24" ht="18.75">
      <c r="A214" s="129" t="s">
        <v>491</v>
      </c>
      <c r="B214" s="130" t="s">
        <v>298</v>
      </c>
      <c r="C214" s="131" t="str">
        <f>VLOOKUP(A214,'[1]mFund List'!$A$2:$B$311,2,FALSE)</f>
        <v>MLC WS Inflation Plus - Moderate Portfolio</v>
      </c>
      <c r="D214" s="132"/>
      <c r="E214" s="116"/>
      <c r="F214" s="133" t="str">
        <f>_xlfn.IFNA(VLOOKUP(A214,'[1]mFund List'!$A$2:$I$200,6,FALSE),"n/a")</f>
        <v>0.90%</v>
      </c>
      <c r="G214" s="134">
        <f>_xlfn.IFNA(VLOOKUP(A214,'[1]mFund List'!$A$2:$J$200,8,FALSE)/1000000,"n/a")</f>
        <v>0.47583939787775997</v>
      </c>
      <c r="H214" s="135">
        <f>_xlfn.IFNA(VLOOKUP(A214,'[1]mFund List'!$A$2:$N$200,14,FALSE)/1000000,"n/a")</f>
        <v>0.18818061826188001</v>
      </c>
      <c r="I214" s="134">
        <f>_xlfn.IFNA(VLOOKUP(A214,'[1]mFund List'!$A$2:$R$200,18,FALSE)/1000000,"n/a")</f>
        <v>0.18662507764991995</v>
      </c>
      <c r="J214" s="136">
        <f>_xlfn.IFNA(VLOOKUP(A214,[1]IRESS!$A$10:$F$875,5,FALSE),"n/a")</f>
        <v>187000</v>
      </c>
      <c r="K214" s="137">
        <f>_xlfn.IFNA(VLOOKUP(A214,[1]IRESS!$A$11:$G$684,7,FALSE),"n/a")</f>
        <v>168926.94</v>
      </c>
      <c r="L214" s="136">
        <f>_xlfn.IFNA(VLOOKUP(A214,[1]IRESS!$A$10:$F$875,4,FALSE),"n/a")</f>
        <v>3</v>
      </c>
      <c r="M214" s="138">
        <f t="shared" si="3"/>
        <v>0.39298973736520881</v>
      </c>
      <c r="N214" s="139" t="e">
        <f>VLOOKUP(A214,[1]Spreads!$A$1:$G$87,2,FALSE)</f>
        <v>#N/A</v>
      </c>
      <c r="O214" s="137" t="e">
        <f>VLOOKUP(A214,[1]Spreads!$A$1:$G$87,5,FALSE)/1000</f>
        <v>#N/A</v>
      </c>
      <c r="P214" s="140" t="e">
        <f>VLOOKUP(A214,[1]Spreads!$A$1:$G$87,6,FALSE)/1000</f>
        <v>#N/A</v>
      </c>
      <c r="R214" s="141">
        <f>_xlfn.IFNA(VLOOKUP($A214,[1]IRESS!$A$11:$AE$696,6,FALSE)/100,"n/a")</f>
        <v>1.104768</v>
      </c>
      <c r="S214" s="117"/>
      <c r="T214" s="142" t="str">
        <f>IF(VLOOKUP($A214,[1]FE!$A$2:$G$498,3,FALSE)="N/A","n/a",IFERROR(VLOOKUP($A214,[1]FE!$A$2:$G$498,3,FALSE),"n/a"))</f>
        <v>0.55%</v>
      </c>
      <c r="U214" s="138" t="str">
        <f>IF(VLOOKUP($A214,[1]FE!$A$2:$G$498,4,FALSE)="N/A","n/a",IFERROR(VLOOKUP($A214,[1]FE!$A$2:$G$498,4,FALSE),"n/a"))</f>
        <v>0.91%</v>
      </c>
      <c r="V214" s="142" t="str">
        <f>IF(VLOOKUP($A214,[1]FE!$A$2:$G$498,5,FALSE)="N/A","n/a",IFERROR(VLOOKUP($A214,[1]FE!$A$2:$G$498,5,FALSE),"n/a"))</f>
        <v>4.33%</v>
      </c>
      <c r="W214" s="138" t="str">
        <f>IF(VLOOKUP($A214,[1]FE!$A$2:$G$498,6,FALSE)="N/A","n/a",IFERROR(VLOOKUP($A214,[1]FE!$A$2:$G$498,6,FALSE),"n/a"))</f>
        <v>3.55%</v>
      </c>
      <c r="X214" s="142" t="str">
        <f>IF(VLOOKUP($A214,[1]FE!$A$2:$G$498,7,FALSE)="N/A","n/a",IFERROR(VLOOKUP($A214,[1]FE!$A$2:$G$498,7,FALSE),"n/a"))</f>
        <v>n/a</v>
      </c>
    </row>
    <row r="215" spans="1:24" ht="18.75">
      <c r="A215" s="129" t="s">
        <v>492</v>
      </c>
      <c r="B215" s="130" t="s">
        <v>298</v>
      </c>
      <c r="C215" s="131" t="str">
        <f>VLOOKUP(A215,'[1]mFund List'!$A$2:$B$311,2,FALSE)</f>
        <v>MLC WS Inflation Plus - Assertive Portfolio</v>
      </c>
      <c r="D215" s="132"/>
      <c r="E215" s="116"/>
      <c r="F215" s="133" t="str">
        <f>_xlfn.IFNA(VLOOKUP(A215,'[1]mFund List'!$A$2:$I$200,6,FALSE),"n/a")</f>
        <v>1.25%</v>
      </c>
      <c r="G215" s="134">
        <f>_xlfn.IFNA(VLOOKUP(A215,'[1]mFund List'!$A$2:$J$200,8,FALSE)/1000000,"n/a")</f>
        <v>0.73087941537900003</v>
      </c>
      <c r="H215" s="135">
        <f>_xlfn.IFNA(VLOOKUP(A215,'[1]mFund List'!$A$2:$N$200,14,FALSE)/1000000,"n/a")</f>
        <v>2.5809770937600056E-2</v>
      </c>
      <c r="I215" s="134">
        <f>_xlfn.IFNA(VLOOKUP(A215,'[1]mFund List'!$A$2:$R$200,18,FALSE)/1000000,"n/a")</f>
        <v>1.9847943288899942E-2</v>
      </c>
      <c r="J215" s="136">
        <f>_xlfn.IFNA(VLOOKUP(A215,[1]IRESS!$A$10:$F$875,5,FALSE),"n/a")</f>
        <v>20000</v>
      </c>
      <c r="K215" s="137">
        <f>_xlfn.IFNA(VLOOKUP(A215,[1]IRESS!$A$11:$G$684,7,FALSE),"n/a")</f>
        <v>20724.810000000001</v>
      </c>
      <c r="L215" s="136">
        <f>_xlfn.IFNA(VLOOKUP(A215,[1]IRESS!$A$10:$F$875,4,FALSE),"n/a")</f>
        <v>1</v>
      </c>
      <c r="M215" s="138">
        <f t="shared" si="3"/>
        <v>2.7364295093232214E-2</v>
      </c>
      <c r="N215" s="139" t="e">
        <f>VLOOKUP(A215,[1]Spreads!$A$1:$G$87,2,FALSE)</f>
        <v>#N/A</v>
      </c>
      <c r="O215" s="137" t="e">
        <f>VLOOKUP(A215,[1]Spreads!$A$1:$G$87,5,FALSE)/1000</f>
        <v>#N/A</v>
      </c>
      <c r="P215" s="140" t="e">
        <f>VLOOKUP(A215,[1]Spreads!$A$1:$G$87,6,FALSE)/1000</f>
        <v>#N/A</v>
      </c>
      <c r="R215" s="141">
        <f>_xlfn.IFNA(VLOOKUP($A215,[1]IRESS!$A$11:$AE$696,6,FALSE)/100,"n/a")</f>
        <v>0.95769000000000004</v>
      </c>
      <c r="S215" s="117"/>
      <c r="T215" s="142" t="str">
        <f>IF(VLOOKUP($A215,[1]FE!$A$2:$G$498,3,FALSE)="N/A","n/a",IFERROR(VLOOKUP($A215,[1]FE!$A$2:$G$498,3,FALSE),"n/a"))</f>
        <v>0.84%</v>
      </c>
      <c r="U215" s="138" t="str">
        <f>IF(VLOOKUP($A215,[1]FE!$A$2:$G$498,4,FALSE)="N/A","n/a",IFERROR(VLOOKUP($A215,[1]FE!$A$2:$G$498,4,FALSE),"n/a"))</f>
        <v>1.55%</v>
      </c>
      <c r="V215" s="142" t="str">
        <f>IF(VLOOKUP($A215,[1]FE!$A$2:$G$498,5,FALSE)="N/A","n/a",IFERROR(VLOOKUP($A215,[1]FE!$A$2:$G$498,5,FALSE),"n/a"))</f>
        <v>6.46%</v>
      </c>
      <c r="W215" s="138" t="str">
        <f>IF(VLOOKUP($A215,[1]FE!$A$2:$G$498,6,FALSE)="N/A","n/a",IFERROR(VLOOKUP($A215,[1]FE!$A$2:$G$498,6,FALSE),"n/a"))</f>
        <v>4.58%</v>
      </c>
      <c r="X215" s="142" t="str">
        <f>IF(VLOOKUP($A215,[1]FE!$A$2:$G$498,7,FALSE)="N/A","n/a",IFERROR(VLOOKUP($A215,[1]FE!$A$2:$G$498,7,FALSE),"n/a"))</f>
        <v>8.04%</v>
      </c>
    </row>
    <row r="216" spans="1:24" ht="18.75">
      <c r="A216" s="129" t="s">
        <v>493</v>
      </c>
      <c r="B216" s="130" t="s">
        <v>298</v>
      </c>
      <c r="C216" s="131" t="str">
        <f>VLOOKUP(A216,'[1]mFund List'!$A$2:$B$311,2,FALSE)</f>
        <v>Schroder Real Return CPI Plus 5% Wholesale</v>
      </c>
      <c r="D216" s="132"/>
      <c r="E216" s="116"/>
      <c r="F216" s="133" t="str">
        <f>_xlfn.IFNA(VLOOKUP(A216,'[1]mFund List'!$A$2:$I$200,6,FALSE),"n/a")</f>
        <v>0.90%</v>
      </c>
      <c r="G216" s="134">
        <f>_xlfn.IFNA(VLOOKUP(A216,'[1]mFund List'!$A$2:$J$200,8,FALSE)/1000000,"n/a")</f>
        <v>19.810777987886652</v>
      </c>
      <c r="H216" s="135">
        <f>_xlfn.IFNA(VLOOKUP(A216,'[1]mFund List'!$A$2:$N$200,14,FALSE)/1000000,"n/a")</f>
        <v>0.58745306648853046</v>
      </c>
      <c r="I216" s="134">
        <f>_xlfn.IFNA(VLOOKUP(A216,'[1]mFund List'!$A$2:$R$200,18,FALSE)/1000000,"n/a")</f>
        <v>0.47087639048426982</v>
      </c>
      <c r="J216" s="136">
        <f>_xlfn.IFNA(VLOOKUP(A216,[1]IRESS!$A$10:$F$875,5,FALSE),"n/a")</f>
        <v>770195.48</v>
      </c>
      <c r="K216" s="137">
        <f>_xlfn.IFNA(VLOOKUP(A216,[1]IRESS!$A$11:$G$684,7,FALSE),"n/a")</f>
        <v>671857.04650000005</v>
      </c>
      <c r="L216" s="136">
        <f>_xlfn.IFNA(VLOOKUP(A216,[1]IRESS!$A$10:$F$875,4,FALSE),"n/a")</f>
        <v>12</v>
      </c>
      <c r="M216" s="138">
        <f t="shared" si="3"/>
        <v>3.8877598874256118E-2</v>
      </c>
      <c r="N216" s="139" t="e">
        <f>VLOOKUP(A216,[1]Spreads!$A$1:$G$87,2,FALSE)</f>
        <v>#N/A</v>
      </c>
      <c r="O216" s="137" t="e">
        <f>VLOOKUP(A216,[1]Spreads!$A$1:$G$87,5,FALSE)/1000</f>
        <v>#N/A</v>
      </c>
      <c r="P216" s="140" t="e">
        <f>VLOOKUP(A216,[1]Spreads!$A$1:$G$87,6,FALSE)/1000</f>
        <v>#N/A</v>
      </c>
      <c r="R216" s="141">
        <f>_xlfn.IFNA(VLOOKUP($A216,[1]IRESS!$A$11:$AE$696,6,FALSE)/100,"n/a")</f>
        <v>1.1447000000000001</v>
      </c>
      <c r="S216" s="117"/>
      <c r="T216" s="142" t="str">
        <f>IF(VLOOKUP($A216,[1]FE!$A$2:$G$498,3,FALSE)="N/A","n/a",IFERROR(VLOOKUP($A216,[1]FE!$A$2:$G$498,3,FALSE),"n/a"))</f>
        <v>0.61%</v>
      </c>
      <c r="U216" s="138" t="str">
        <f>IF(VLOOKUP($A216,[1]FE!$A$2:$G$498,4,FALSE)="N/A","n/a",IFERROR(VLOOKUP($A216,[1]FE!$A$2:$G$498,4,FALSE),"n/a"))</f>
        <v>0.97%</v>
      </c>
      <c r="V216" s="142" t="str">
        <f>IF(VLOOKUP($A216,[1]FE!$A$2:$G$498,5,FALSE)="N/A","n/a",IFERROR(VLOOKUP($A216,[1]FE!$A$2:$G$498,5,FALSE),"n/a"))</f>
        <v>3.69%</v>
      </c>
      <c r="W216" s="138" t="str">
        <f>IF(VLOOKUP($A216,[1]FE!$A$2:$G$498,6,FALSE)="N/A","n/a",IFERROR(VLOOKUP($A216,[1]FE!$A$2:$G$498,6,FALSE),"n/a"))</f>
        <v>3.89%</v>
      </c>
      <c r="X216" s="142" t="str">
        <f>IF(VLOOKUP($A216,[1]FE!$A$2:$G$498,7,FALSE)="N/A","n/a",IFERROR(VLOOKUP($A216,[1]FE!$A$2:$G$498,7,FALSE),"n/a"))</f>
        <v>5.15%</v>
      </c>
    </row>
    <row r="217" spans="1:24" s="45" customFormat="1" ht="18.75">
      <c r="A217" s="129" t="s">
        <v>494</v>
      </c>
      <c r="B217" s="130" t="s">
        <v>298</v>
      </c>
      <c r="C217" s="131" t="str">
        <f>VLOOKUP(A217,'[1]mFund List'!$A$2:$B$311,2,FALSE)</f>
        <v>Schroder Real Return CPI Plus 3.5% Wholesale</v>
      </c>
      <c r="D217" s="132"/>
      <c r="E217" s="116"/>
      <c r="F217" s="133" t="str">
        <f>_xlfn.IFNA(VLOOKUP(A217,'[1]mFund List'!$A$2:$I$200,6,FALSE),"n/a")</f>
        <v>0.60%</v>
      </c>
      <c r="G217" s="134">
        <f>_xlfn.IFNA(VLOOKUP(A217,'[1]mFund List'!$A$2:$J$200,8,FALSE)/1000000,"n/a")</f>
        <v>1.6177226098937603</v>
      </c>
      <c r="H217" s="135">
        <f>_xlfn.IFNA(VLOOKUP(A217,'[1]mFund List'!$A$2:$N$200,14,FALSE)/1000000,"n/a")</f>
        <v>-0.56449393896155009</v>
      </c>
      <c r="I217" s="134">
        <f>_xlfn.IFNA(VLOOKUP(A217,'[1]mFund List'!$A$2:$R$200,18,FALSE)/1000000,"n/a")</f>
        <v>-0.57329228956687994</v>
      </c>
      <c r="J217" s="136">
        <f>_xlfn.IFNA(VLOOKUP(A217,[1]IRESS!$A$10:$F$875,5,FALSE),"n/a")</f>
        <v>573588.61</v>
      </c>
      <c r="K217" s="137">
        <f>_xlfn.IFNA(VLOOKUP(A217,[1]IRESS!$A$11:$G$684,7,FALSE),"n/a")</f>
        <v>590292.71990000003</v>
      </c>
      <c r="L217" s="136">
        <f>_xlfn.IFNA(VLOOKUP(A217,[1]IRESS!$A$10:$F$875,4,FALSE),"n/a")</f>
        <v>2</v>
      </c>
      <c r="M217" s="138">
        <f t="shared" si="3"/>
        <v>0.35456549008588623</v>
      </c>
      <c r="N217" s="139" t="e">
        <f>VLOOKUP(A217,[1]Spreads!$A$1:$G$87,2,FALSE)</f>
        <v>#N/A</v>
      </c>
      <c r="O217" s="137" t="e">
        <f>VLOOKUP(A217,[1]Spreads!$A$1:$G$87,5,FALSE)/1000</f>
        <v>#N/A</v>
      </c>
      <c r="P217" s="140" t="e">
        <f>VLOOKUP(A217,[1]Spreads!$A$1:$G$87,6,FALSE)/1000</f>
        <v>#N/A</v>
      </c>
      <c r="Q217" s="7"/>
      <c r="R217" s="141">
        <f>_xlfn.IFNA(VLOOKUP($A217,[1]IRESS!$A$11:$AE$696,6,FALSE)/100,"n/a")</f>
        <v>0.97120000000000006</v>
      </c>
      <c r="S217" s="117"/>
      <c r="T217" s="142" t="str">
        <f>IF(VLOOKUP($A217,[1]FE!$A$2:$G$498,3,FALSE)="N/A","n/a",IFERROR(VLOOKUP($A217,[1]FE!$A$2:$G$498,3,FALSE),"n/a"))</f>
        <v>0.40%</v>
      </c>
      <c r="U217" s="138" t="str">
        <f>IF(VLOOKUP($A217,[1]FE!$A$2:$G$498,4,FALSE)="N/A","n/a",IFERROR(VLOOKUP($A217,[1]FE!$A$2:$G$498,4,FALSE),"n/a"))</f>
        <v>0.64%</v>
      </c>
      <c r="V217" s="142" t="str">
        <f>IF(VLOOKUP($A217,[1]FE!$A$2:$G$498,5,FALSE)="N/A","n/a",IFERROR(VLOOKUP($A217,[1]FE!$A$2:$G$498,5,FALSE),"n/a"))</f>
        <v>2.64%</v>
      </c>
      <c r="W217" s="138" t="str">
        <f>IF(VLOOKUP($A217,[1]FE!$A$2:$G$498,6,FALSE)="N/A","n/a",IFERROR(VLOOKUP($A217,[1]FE!$A$2:$G$498,6,FALSE),"n/a"))</f>
        <v>3.22%</v>
      </c>
      <c r="X217" s="142" t="str">
        <f>IF(VLOOKUP($A217,[1]FE!$A$2:$G$498,7,FALSE)="N/A","n/a",IFERROR(VLOOKUP($A217,[1]FE!$A$2:$G$498,7,FALSE),"n/a"))</f>
        <v>n/a</v>
      </c>
    </row>
    <row r="218" spans="1:24" ht="18.75">
      <c r="A218" s="129" t="s">
        <v>495</v>
      </c>
      <c r="B218" s="130" t="s">
        <v>298</v>
      </c>
      <c r="C218" s="131" t="str">
        <f>VLOOKUP(A218,'[1]mFund List'!$A$2:$B$311,2,FALSE)</f>
        <v>UBS Tactical Beta Fund - Balanced</v>
      </c>
      <c r="D218" s="132"/>
      <c r="E218" s="116"/>
      <c r="F218" s="133" t="str">
        <f>_xlfn.IFNA(VLOOKUP(A218,'[1]mFund List'!$A$2:$I$200,6,FALSE),"n/a")</f>
        <v>0.35%</v>
      </c>
      <c r="G218" s="134">
        <f>_xlfn.IFNA(VLOOKUP(A218,'[1]mFund List'!$A$2:$J$200,8,FALSE)/1000000,"n/a")</f>
        <v>0.84094568901790001</v>
      </c>
      <c r="H218" s="135">
        <f>_xlfn.IFNA(VLOOKUP(A218,'[1]mFund List'!$A$2:$N$200,14,FALSE)/1000000,"n/a")</f>
        <v>-4.4372859235999991E-2</v>
      </c>
      <c r="I218" s="134">
        <f>_xlfn.IFNA(VLOOKUP(A218,'[1]mFund List'!$A$2:$R$200,18,FALSE)/1000000,"n/a")</f>
        <v>-5.0186327500000003E-2</v>
      </c>
      <c r="J218" s="136">
        <f>_xlfn.IFNA(VLOOKUP(A218,[1]IRESS!$A$10:$F$875,5,FALSE),"n/a")</f>
        <v>50084.02</v>
      </c>
      <c r="K218" s="137">
        <f>_xlfn.IFNA(VLOOKUP(A218,[1]IRESS!$A$11:$G$684,7,FALSE),"n/a")</f>
        <v>40925</v>
      </c>
      <c r="L218" s="136">
        <f>_xlfn.IFNA(VLOOKUP(A218,[1]IRESS!$A$10:$F$875,4,FALSE),"n/a")</f>
        <v>1</v>
      </c>
      <c r="M218" s="138">
        <f t="shared" si="3"/>
        <v>5.9556783100333993E-2</v>
      </c>
      <c r="N218" s="139" t="e">
        <f>VLOOKUP(A218,[1]Spreads!$A$1:$G$87,2,FALSE)</f>
        <v>#N/A</v>
      </c>
      <c r="O218" s="137" t="e">
        <f>VLOOKUP(A218,[1]Spreads!$A$1:$G$87,5,FALSE)/1000</f>
        <v>#N/A</v>
      </c>
      <c r="P218" s="140" t="e">
        <f>VLOOKUP(A218,[1]Spreads!$A$1:$G$87,6,FALSE)/1000</f>
        <v>#N/A</v>
      </c>
      <c r="R218" s="141">
        <f>_xlfn.IFNA(VLOOKUP($A218,[1]IRESS!$A$11:$AE$696,6,FALSE)/100,"n/a")</f>
        <v>1.2262999999999999</v>
      </c>
      <c r="S218" s="117"/>
      <c r="T218" s="142" t="str">
        <f>IF(VLOOKUP($A218,[1]FE!$A$2:$G$498,3,FALSE)="N/A","n/a",IFERROR(VLOOKUP($A218,[1]FE!$A$2:$G$498,3,FALSE),"n/a"))</f>
        <v>0.75%</v>
      </c>
      <c r="U218" s="138" t="str">
        <f>IF(VLOOKUP($A218,[1]FE!$A$2:$G$498,4,FALSE)="N/A","n/a",IFERROR(VLOOKUP($A218,[1]FE!$A$2:$G$498,4,FALSE),"n/a"))</f>
        <v>2.23%</v>
      </c>
      <c r="V218" s="142" t="str">
        <f>IF(VLOOKUP($A218,[1]FE!$A$2:$G$498,5,FALSE)="N/A","n/a",IFERROR(VLOOKUP($A218,[1]FE!$A$2:$G$498,5,FALSE),"n/a"))</f>
        <v>6.21%</v>
      </c>
      <c r="W218" s="138" t="str">
        <f>IF(VLOOKUP($A218,[1]FE!$A$2:$G$498,6,FALSE)="N/A","n/a",IFERROR(VLOOKUP($A218,[1]FE!$A$2:$G$498,6,FALSE),"n/a"))</f>
        <v>4.79%</v>
      </c>
      <c r="X218" s="142" t="str">
        <f>IF(VLOOKUP($A218,[1]FE!$A$2:$G$498,7,FALSE)="N/A","n/a",IFERROR(VLOOKUP($A218,[1]FE!$A$2:$G$498,7,FALSE),"n/a"))</f>
        <v>7.02%</v>
      </c>
    </row>
    <row r="219" spans="1:24" ht="18.75">
      <c r="A219" s="129" t="s">
        <v>496</v>
      </c>
      <c r="B219" s="130" t="s">
        <v>298</v>
      </c>
      <c r="C219" s="131" t="str">
        <f>VLOOKUP(A219,'[1]mFund List'!$A$2:$B$311,2,FALSE)</f>
        <v>UBS Tactical Beta Fund - Growth</v>
      </c>
      <c r="D219" s="132"/>
      <c r="E219" s="116"/>
      <c r="F219" s="133" t="str">
        <f>_xlfn.IFNA(VLOOKUP(A219,'[1]mFund List'!$A$2:$I$200,6,FALSE),"n/a")</f>
        <v>0.35%</v>
      </c>
      <c r="G219" s="134">
        <f>_xlfn.IFNA(VLOOKUP(A219,'[1]mFund List'!$A$2:$J$200,8,FALSE)/1000000,"n/a")</f>
        <v>0.23559232336499999</v>
      </c>
      <c r="H219" s="135">
        <f>_xlfn.IFNA(VLOOKUP(A219,'[1]mFund List'!$A$2:$N$200,14,FALSE)/1000000,"n/a")</f>
        <v>1.8142050089999975E-3</v>
      </c>
      <c r="I219" s="134">
        <f>_xlfn.IFNA(VLOOKUP(A219,'[1]mFund List'!$A$2:$R$200,18,FALSE)/1000000,"n/a")</f>
        <v>0</v>
      </c>
      <c r="J219" s="136" t="str">
        <f>_xlfn.IFNA(VLOOKUP(A219,[1]IRESS!$A$10:$F$875,5,FALSE),"n/a")</f>
        <v>0</v>
      </c>
      <c r="K219" s="137" t="str">
        <f>_xlfn.IFNA(VLOOKUP(A219,[1]IRESS!$A$11:$G$684,7,FALSE),"n/a")</f>
        <v>0</v>
      </c>
      <c r="L219" s="136" t="str">
        <f>_xlfn.IFNA(VLOOKUP(A219,[1]IRESS!$A$10:$F$875,4,FALSE),"n/a")</f>
        <v>0</v>
      </c>
      <c r="M219" s="138">
        <f t="shared" si="3"/>
        <v>0</v>
      </c>
      <c r="N219" s="139" t="e">
        <f>VLOOKUP(A219,[1]Spreads!$A$1:$G$87,2,FALSE)</f>
        <v>#N/A</v>
      </c>
      <c r="O219" s="137" t="e">
        <f>VLOOKUP(A219,[1]Spreads!$A$1:$G$87,5,FALSE)/1000</f>
        <v>#N/A</v>
      </c>
      <c r="P219" s="140" t="e">
        <f>VLOOKUP(A219,[1]Spreads!$A$1:$G$87,6,FALSE)/1000</f>
        <v>#N/A</v>
      </c>
      <c r="R219" s="141">
        <f>_xlfn.IFNA(VLOOKUP($A219,[1]IRESS!$A$11:$AE$696,6,FALSE)/100,"n/a")</f>
        <v>1.3895</v>
      </c>
      <c r="S219" s="117"/>
      <c r="T219" s="142" t="str">
        <f>IF(VLOOKUP($A219,[1]FE!$A$2:$G$498,3,FALSE)="N/A","n/a",IFERROR(VLOOKUP($A219,[1]FE!$A$2:$G$498,3,FALSE),"n/a"))</f>
        <v>0.90%</v>
      </c>
      <c r="U219" s="138" t="str">
        <f>IF(VLOOKUP($A219,[1]FE!$A$2:$G$498,4,FALSE)="N/A","n/a",IFERROR(VLOOKUP($A219,[1]FE!$A$2:$G$498,4,FALSE),"n/a"))</f>
        <v>3.15%</v>
      </c>
      <c r="V219" s="142" t="str">
        <f>IF(VLOOKUP($A219,[1]FE!$A$2:$G$498,5,FALSE)="N/A","n/a",IFERROR(VLOOKUP($A219,[1]FE!$A$2:$G$498,5,FALSE),"n/a"))</f>
        <v>8.01%</v>
      </c>
      <c r="W219" s="138" t="str">
        <f>IF(VLOOKUP($A219,[1]FE!$A$2:$G$498,6,FALSE)="N/A","n/a",IFERROR(VLOOKUP($A219,[1]FE!$A$2:$G$498,6,FALSE),"n/a"))</f>
        <v>5.79%</v>
      </c>
      <c r="X219" s="142" t="str">
        <f>IF(VLOOKUP($A219,[1]FE!$A$2:$G$498,7,FALSE)="N/A","n/a",IFERROR(VLOOKUP($A219,[1]FE!$A$2:$G$498,7,FALSE),"n/a"))</f>
        <v>8.23%</v>
      </c>
    </row>
    <row r="220" spans="1:24" ht="18.75">
      <c r="A220" s="129" t="s">
        <v>497</v>
      </c>
      <c r="B220" s="130" t="s">
        <v>298</v>
      </c>
      <c r="C220" s="131" t="str">
        <f>VLOOKUP(A220,'[1]mFund List'!$A$2:$B$311,2,FALSE)</f>
        <v>UBS Tactical Beta Fund - Conservative</v>
      </c>
      <c r="D220" s="132"/>
      <c r="E220" s="116"/>
      <c r="F220" s="133" t="str">
        <f>_xlfn.IFNA(VLOOKUP(A220,'[1]mFund List'!$A$2:$I$200,6,FALSE),"n/a")</f>
        <v>0.35%</v>
      </c>
      <c r="G220" s="134">
        <f>_xlfn.IFNA(VLOOKUP(A220,'[1]mFund List'!$A$2:$J$200,8,FALSE)/1000000,"n/a")</f>
        <v>0</v>
      </c>
      <c r="H220" s="135">
        <f>_xlfn.IFNA(VLOOKUP(A220,'[1]mFund List'!$A$2:$N$200,14,FALSE)/1000000,"n/a")</f>
        <v>0</v>
      </c>
      <c r="I220" s="134">
        <f>_xlfn.IFNA(VLOOKUP(A220,'[1]mFund List'!$A$2:$R$200,18,FALSE)/1000000,"n/a")</f>
        <v>0</v>
      </c>
      <c r="J220" s="136" t="str">
        <f>_xlfn.IFNA(VLOOKUP(A220,[1]IRESS!$A$10:$F$875,5,FALSE),"n/a")</f>
        <v>0</v>
      </c>
      <c r="K220" s="137" t="str">
        <f>_xlfn.IFNA(VLOOKUP(A220,[1]IRESS!$A$11:$G$684,7,FALSE),"n/a")</f>
        <v>0</v>
      </c>
      <c r="L220" s="136" t="str">
        <f>_xlfn.IFNA(VLOOKUP(A220,[1]IRESS!$A$10:$F$875,4,FALSE),"n/a")</f>
        <v>0</v>
      </c>
      <c r="M220" s="138" t="e">
        <f t="shared" si="3"/>
        <v>#DIV/0!</v>
      </c>
      <c r="N220" s="139" t="e">
        <f>VLOOKUP(A220,[1]Spreads!$A$1:$G$87,2,FALSE)</f>
        <v>#N/A</v>
      </c>
      <c r="O220" s="137" t="e">
        <f>VLOOKUP(A220,[1]Spreads!$A$1:$G$87,5,FALSE)/1000</f>
        <v>#N/A</v>
      </c>
      <c r="P220" s="140" t="e">
        <f>VLOOKUP(A220,[1]Spreads!$A$1:$G$87,6,FALSE)/1000</f>
        <v>#N/A</v>
      </c>
      <c r="R220" s="141">
        <f>_xlfn.IFNA(VLOOKUP($A220,[1]IRESS!$A$11:$AE$696,6,FALSE)/100,"n/a")</f>
        <v>1.1073</v>
      </c>
      <c r="S220" s="117"/>
      <c r="T220" s="142" t="str">
        <f>IF(VLOOKUP($A220,[1]FE!$A$2:$G$498,3,FALSE)="N/A","n/a",IFERROR(VLOOKUP($A220,[1]FE!$A$2:$G$498,3,FALSE),"n/a"))</f>
        <v>0.49%</v>
      </c>
      <c r="U220" s="138" t="str">
        <f>IF(VLOOKUP($A220,[1]FE!$A$2:$G$498,4,FALSE)="N/A","n/a",IFERROR(VLOOKUP($A220,[1]FE!$A$2:$G$498,4,FALSE),"n/a"))</f>
        <v>1.11%</v>
      </c>
      <c r="V220" s="142" t="str">
        <f>IF(VLOOKUP($A220,[1]FE!$A$2:$G$498,5,FALSE)="N/A","n/a",IFERROR(VLOOKUP($A220,[1]FE!$A$2:$G$498,5,FALSE),"n/a"))</f>
        <v>4.09%</v>
      </c>
      <c r="W220" s="138" t="str">
        <f>IF(VLOOKUP($A220,[1]FE!$A$2:$G$498,6,FALSE)="N/A","n/a",IFERROR(VLOOKUP($A220,[1]FE!$A$2:$G$498,6,FALSE),"n/a"))</f>
        <v>3.59%</v>
      </c>
      <c r="X220" s="142" t="str">
        <f>IF(VLOOKUP($A220,[1]FE!$A$2:$G$498,7,FALSE)="N/A","n/a",IFERROR(VLOOKUP($A220,[1]FE!$A$2:$G$498,7,FALSE),"n/a"))</f>
        <v>5.62%</v>
      </c>
    </row>
    <row r="221" spans="1:24" ht="18.75">
      <c r="A221" s="123" t="s">
        <v>225</v>
      </c>
      <c r="B221" s="155"/>
      <c r="C221" s="155"/>
      <c r="D221" s="155"/>
      <c r="E221" s="116"/>
      <c r="F221" s="143"/>
      <c r="G221" s="144"/>
      <c r="H221" s="144"/>
      <c r="I221" s="144"/>
      <c r="J221" s="145"/>
      <c r="K221" s="145"/>
      <c r="L221" s="145"/>
      <c r="M221" s="146"/>
      <c r="N221" s="146"/>
      <c r="O221" s="145"/>
      <c r="P221" s="145"/>
      <c r="R221" s="147"/>
      <c r="S221" s="117"/>
      <c r="T221" s="155"/>
      <c r="U221" s="155"/>
      <c r="V221" s="155"/>
      <c r="W221" s="155"/>
      <c r="X221" s="155"/>
    </row>
    <row r="222" spans="1:24" ht="18.75">
      <c r="A222" s="129" t="s">
        <v>226</v>
      </c>
      <c r="B222" s="130" t="s">
        <v>227</v>
      </c>
      <c r="C222" s="148" t="str">
        <f>VLOOKUP((A222&amp;".ASX"),[1]IRESS!$J$11:$R$681,8,FALSE)</f>
        <v>S&amp;P/ASX 200 Accumulation</v>
      </c>
      <c r="D222" s="149"/>
      <c r="E222" s="116"/>
      <c r="F222" s="133" t="str">
        <f>_xlfn.IFNA(VLOOKUP(A222,'[1]mFund List'!$A$2:$I$200,6,FALSE),"n/a")</f>
        <v>n/a</v>
      </c>
      <c r="G222" s="134" t="str">
        <f>_xlfn.IFNA(VLOOKUP(A222,'[1]mFund List'!$A$2:$J$200,8,FALSE)/1000000,"n/a")</f>
        <v>n/a</v>
      </c>
      <c r="H222" s="135" t="str">
        <f>_xlfn.IFNA(VLOOKUP(A222,'[1]mFund List'!$A$2:$N$200,14,FALSE)/1000000,"n/a")</f>
        <v>n/a</v>
      </c>
      <c r="I222" s="134" t="str">
        <f>_xlfn.IFNA(VLOOKUP(A222,'[1]mFund List'!$A$2:$R$200,18,FALSE)/1000000,"n/a")</f>
        <v>n/a</v>
      </c>
      <c r="J222" s="136">
        <f>_xlfn.IFNA(VLOOKUP(A222,[1]IRESS!$A$10:$F$875,5,FALSE),"n/a")</f>
        <v>0</v>
      </c>
      <c r="K222" s="137">
        <f>_xlfn.IFNA(VLOOKUP(A222,[1]IRESS!$A$11:$G$684,7,FALSE),"n/a")</f>
        <v>0</v>
      </c>
      <c r="L222" s="136">
        <f>_xlfn.IFNA(VLOOKUP(A222,[1]IRESS!$A$10:$F$875,4,FALSE),"n/a")</f>
        <v>0</v>
      </c>
      <c r="M222" s="138" t="e">
        <f t="shared" si="3"/>
        <v>#VALUE!</v>
      </c>
      <c r="N222" s="139" t="e">
        <f>VLOOKUP(A222,[1]Spreads!$A$1:$G$87,2,FALSE)</f>
        <v>#N/A</v>
      </c>
      <c r="O222" s="137" t="e">
        <f>VLOOKUP(A222,[1]Spreads!$A$1:$G$87,5,FALSE)/1000</f>
        <v>#N/A</v>
      </c>
      <c r="P222" s="140" t="e">
        <f>VLOOKUP(A222,[1]Spreads!$A$1:$G$87,6,FALSE)/1000</f>
        <v>#N/A</v>
      </c>
      <c r="R222" s="156">
        <f>VLOOKUP(($A222&amp;".ASX"),[1]IRESS!$AF$11:$AG$681,2,FALSE)</f>
        <v>63015.407839308253</v>
      </c>
      <c r="S222" s="117"/>
      <c r="T222" s="142">
        <f>IFERROR(($R222-VLOOKUP($A222,[1]IRESS!$A$11:$AE$696,25,FALSE))/(VLOOKUP($A222,[1]IRESS!$A$11:$AE$696,25,FALSE)),"n/a")</f>
        <v>3.7461315862249253E-2</v>
      </c>
      <c r="U222" s="138"/>
      <c r="V222" s="142">
        <f>IFERROR(($R222-VLOOKUP($A222,[1]IRESS!$A$11:$AE$696,27,FALSE))/(VLOOKUP($A222,[1]IRESS!$A$11:$AE$696,27,FALSE)),"n/a")</f>
        <v>0.13014760443980347</v>
      </c>
      <c r="W222" s="138">
        <f>IFERROR((($R222/VLOOKUP($A222,[1]IRESS!$A$11:$AE$696,29,FALSE))^(1/3)-1),"n/a")</f>
        <v>9.0427391805817159E-2</v>
      </c>
      <c r="X222" s="142">
        <f>IFERROR((($R222/VLOOKUP($A222,[1]IRESS!$A$11:$AE$696,31,FALSE))^(1/5)-1),"n/a")</f>
        <v>9.9799624905136719E-2</v>
      </c>
    </row>
    <row r="223" spans="1:24" ht="18.75">
      <c r="A223" s="129" t="s">
        <v>228</v>
      </c>
      <c r="B223" s="130" t="s">
        <v>227</v>
      </c>
      <c r="C223" s="148" t="str">
        <f>VLOOKUP((A223&amp;".ASX"),[1]IRESS!$J$11:$R$681,8,FALSE)</f>
        <v>S&amp;P/ASX Small Ords Accumulation</v>
      </c>
      <c r="D223" s="149"/>
      <c r="E223" s="116"/>
      <c r="F223" s="133" t="str">
        <f>_xlfn.IFNA(VLOOKUP(A223,'[1]mFund List'!$A$2:$I$200,6,FALSE),"n/a")</f>
        <v>n/a</v>
      </c>
      <c r="G223" s="134" t="str">
        <f>_xlfn.IFNA(VLOOKUP(A223,'[1]mFund List'!$A$2:$J$200,8,FALSE)/1000000,"n/a")</f>
        <v>n/a</v>
      </c>
      <c r="H223" s="135" t="str">
        <f>_xlfn.IFNA(VLOOKUP(A223,'[1]mFund List'!$A$2:$N$200,14,FALSE)/1000000,"n/a")</f>
        <v>n/a</v>
      </c>
      <c r="I223" s="134" t="str">
        <f>_xlfn.IFNA(VLOOKUP(A223,'[1]mFund List'!$A$2:$R$200,18,FALSE)/1000000,"n/a")</f>
        <v>n/a</v>
      </c>
      <c r="J223" s="136">
        <f>_xlfn.IFNA(VLOOKUP(A223,[1]IRESS!$A$10:$F$875,5,FALSE),"n/a")</f>
        <v>0</v>
      </c>
      <c r="K223" s="137">
        <f>_xlfn.IFNA(VLOOKUP(A223,[1]IRESS!$A$11:$G$684,7,FALSE),"n/a")</f>
        <v>0</v>
      </c>
      <c r="L223" s="136">
        <f>_xlfn.IFNA(VLOOKUP(A223,[1]IRESS!$A$10:$F$875,4,FALSE),"n/a")</f>
        <v>0</v>
      </c>
      <c r="M223" s="138" t="e">
        <f t="shared" si="3"/>
        <v>#VALUE!</v>
      </c>
      <c r="N223" s="139" t="e">
        <f>VLOOKUP(A223,[1]Spreads!$A$1:$G$87,2,FALSE)</f>
        <v>#N/A</v>
      </c>
      <c r="O223" s="137" t="e">
        <f>VLOOKUP(A223,[1]Spreads!$A$1:$G$87,5,FALSE)/1000</f>
        <v>#N/A</v>
      </c>
      <c r="P223" s="140" t="e">
        <f>VLOOKUP(A223,[1]Spreads!$A$1:$G$87,6,FALSE)/1000</f>
        <v>#N/A</v>
      </c>
      <c r="R223" s="156">
        <f>VLOOKUP(($A223&amp;".ASX"),[1]IRESS!$AF$11:$AG$681,2,FALSE)</f>
        <v>8140.5090054170332</v>
      </c>
      <c r="S223" s="117"/>
      <c r="T223" s="142">
        <f>IFERROR(($R223-VLOOKUP($A223,[1]IRESS!$A$11:$AE$696,25,FALSE))/(VLOOKUP($A223,[1]IRESS!$A$11:$AE$696,25,FALSE)),"n/a")</f>
        <v>2.089624394647829E-2</v>
      </c>
      <c r="U223" s="138"/>
      <c r="V223" s="142">
        <f>IFERROR(($R223-VLOOKUP($A223,[1]IRESS!$A$11:$AE$696,27,FALSE))/(VLOOKUP($A223,[1]IRESS!$A$11:$AE$696,27,FALSE)),"n/a")</f>
        <v>0.24246215053522574</v>
      </c>
      <c r="W223" s="138">
        <f>IFERROR((($R223/VLOOKUP($A223,[1]IRESS!$A$11:$AE$696,29,FALSE))^(1/3)-1),"n/a")</f>
        <v>0.15005367378215362</v>
      </c>
      <c r="X223" s="142">
        <f>IFERROR((($R223/VLOOKUP($A223,[1]IRESS!$A$11:$AE$696,31,FALSE))^(1/5)-1),"n/a")</f>
        <v>0.11562181573593877</v>
      </c>
    </row>
    <row r="224" spans="1:24" ht="18.75">
      <c r="A224" s="129" t="s">
        <v>229</v>
      </c>
      <c r="B224" s="130" t="s">
        <v>227</v>
      </c>
      <c r="C224" s="148" t="str">
        <f>VLOOKUP((A224&amp;".ASX"),[1]IRESS!$J$11:$R$681,8,FALSE)</f>
        <v>S&amp;P/ASX 200 A-REIT Accumulation</v>
      </c>
      <c r="D224" s="149"/>
      <c r="E224" s="116"/>
      <c r="F224" s="133" t="str">
        <f>_xlfn.IFNA(VLOOKUP(A224,'[1]mFund List'!$A$2:$I$200,6,FALSE),"n/a")</f>
        <v>n/a</v>
      </c>
      <c r="G224" s="134" t="str">
        <f>_xlfn.IFNA(VLOOKUP(A224,'[1]mFund List'!$A$2:$J$200,8,FALSE)/1000000,"n/a")</f>
        <v>n/a</v>
      </c>
      <c r="H224" s="135" t="str">
        <f>_xlfn.IFNA(VLOOKUP(A224,'[1]mFund List'!$A$2:$N$200,14,FALSE)/1000000,"n/a")</f>
        <v>n/a</v>
      </c>
      <c r="I224" s="134" t="str">
        <f>_xlfn.IFNA(VLOOKUP(A224,'[1]mFund List'!$A$2:$R$200,18,FALSE)/1000000,"n/a")</f>
        <v>n/a</v>
      </c>
      <c r="J224" s="136">
        <f>_xlfn.IFNA(VLOOKUP(A224,[1]IRESS!$A$10:$F$875,5,FALSE),"n/a")</f>
        <v>0</v>
      </c>
      <c r="K224" s="137">
        <f>_xlfn.IFNA(VLOOKUP(A224,[1]IRESS!$A$11:$G$684,7,FALSE),"n/a")</f>
        <v>0</v>
      </c>
      <c r="L224" s="136">
        <f>_xlfn.IFNA(VLOOKUP(A224,[1]IRESS!$A$10:$F$875,4,FALSE),"n/a")</f>
        <v>0</v>
      </c>
      <c r="M224" s="138" t="e">
        <f t="shared" si="3"/>
        <v>#VALUE!</v>
      </c>
      <c r="N224" s="139" t="e">
        <f>VLOOKUP(A224,[1]Spreads!$A$1:$G$87,2,FALSE)</f>
        <v>#N/A</v>
      </c>
      <c r="O224" s="137" t="e">
        <f>VLOOKUP(A224,[1]Spreads!$A$1:$G$87,5,FALSE)/1000</f>
        <v>#N/A</v>
      </c>
      <c r="P224" s="140" t="e">
        <f>VLOOKUP(A224,[1]Spreads!$A$1:$G$87,6,FALSE)/1000</f>
        <v>#N/A</v>
      </c>
      <c r="R224" s="156">
        <f>VLOOKUP(($A224&amp;".ASX"),[1]IRESS!$AF$11:$AG$681,2,FALSE)</f>
        <v>48604.905129330422</v>
      </c>
      <c r="S224" s="117"/>
      <c r="T224" s="142">
        <f>IFERROR(($R224-VLOOKUP($A224,[1]IRESS!$A$11:$AE$696,25,FALSE))/(VLOOKUP($A224,[1]IRESS!$A$11:$AE$696,25,FALSE)),"n/a")</f>
        <v>2.3338225544838796E-2</v>
      </c>
      <c r="U224" s="138"/>
      <c r="V224" s="142">
        <f>IFERROR(($R224-VLOOKUP($A224,[1]IRESS!$A$11:$AE$696,27,FALSE))/(VLOOKUP($A224,[1]IRESS!$A$11:$AE$696,27,FALSE)),"n/a")</f>
        <v>0.13038443354059726</v>
      </c>
      <c r="W224" s="138">
        <f>IFERROR((($R224/VLOOKUP($A224,[1]IRESS!$A$11:$AE$696,29,FALSE))^(1/3)-1),"n/a")</f>
        <v>9.6953604547080019E-2</v>
      </c>
      <c r="X224" s="142">
        <f>IFERROR((($R224/VLOOKUP($A224,[1]IRESS!$A$11:$AE$696,31,FALSE))^(1/5)-1),"n/a")</f>
        <v>0.12009433339785569</v>
      </c>
    </row>
    <row r="225" spans="1:24" ht="18.75">
      <c r="A225" s="129" t="s">
        <v>230</v>
      </c>
      <c r="B225" s="130" t="s">
        <v>227</v>
      </c>
      <c r="C225" s="148" t="str">
        <f>VLOOKUP((A225&amp;".ASX"),[1]IRESS!$J$11:$R$681,8,FALSE)</f>
        <v>S&amp;P/ASX Infrastructure Index Accumulation</v>
      </c>
      <c r="D225" s="149"/>
      <c r="E225" s="116"/>
      <c r="F225" s="133" t="str">
        <f>_xlfn.IFNA(VLOOKUP(A225,'[1]mFund List'!$A$2:$I$200,6,FALSE),"n/a")</f>
        <v>n/a</v>
      </c>
      <c r="G225" s="134" t="str">
        <f>_xlfn.IFNA(VLOOKUP(A225,'[1]mFund List'!$A$2:$J$200,8,FALSE)/1000000,"n/a")</f>
        <v>n/a</v>
      </c>
      <c r="H225" s="135" t="str">
        <f>_xlfn.IFNA(VLOOKUP(A225,'[1]mFund List'!$A$2:$N$200,14,FALSE)/1000000,"n/a")</f>
        <v>n/a</v>
      </c>
      <c r="I225" s="134" t="str">
        <f>_xlfn.IFNA(VLOOKUP(A225,'[1]mFund List'!$A$2:$R$200,18,FALSE)/1000000,"n/a")</f>
        <v>n/a</v>
      </c>
      <c r="J225" s="136">
        <f>_xlfn.IFNA(VLOOKUP(A225,[1]IRESS!$A$10:$F$875,5,FALSE),"n/a")</f>
        <v>0</v>
      </c>
      <c r="K225" s="137">
        <f>_xlfn.IFNA(VLOOKUP(A225,[1]IRESS!$A$11:$G$684,7,FALSE),"n/a")</f>
        <v>0</v>
      </c>
      <c r="L225" s="136">
        <f>_xlfn.IFNA(VLOOKUP(A225,[1]IRESS!$A$10:$F$875,4,FALSE),"n/a")</f>
        <v>0</v>
      </c>
      <c r="M225" s="138" t="e">
        <f t="shared" si="3"/>
        <v>#VALUE!</v>
      </c>
      <c r="N225" s="139" t="e">
        <f>VLOOKUP(A225,[1]Spreads!$A$1:$G$87,2,FALSE)</f>
        <v>#N/A</v>
      </c>
      <c r="O225" s="137" t="e">
        <f>VLOOKUP(A225,[1]Spreads!$A$1:$G$87,5,FALSE)/1000</f>
        <v>#N/A</v>
      </c>
      <c r="P225" s="140" t="e">
        <f>VLOOKUP(A225,[1]Spreads!$A$1:$G$87,6,FALSE)/1000</f>
        <v>#N/A</v>
      </c>
      <c r="R225" s="156">
        <f>VLOOKUP(($A225&amp;".ASX"),[1]IRESS!$AF$11:$AG$681,2,FALSE)</f>
        <v>443.84317103253943</v>
      </c>
      <c r="S225" s="117"/>
      <c r="T225" s="142">
        <f>IFERROR(($R225-VLOOKUP($A225,[1]IRESS!$A$11:$AE$696,25,FALSE))/(VLOOKUP($A225,[1]IRESS!$A$11:$AE$696,25,FALSE)),"n/a")</f>
        <v>6.1343358299678984E-2</v>
      </c>
      <c r="U225" s="138"/>
      <c r="V225" s="142">
        <f>IFERROR(($R225-VLOOKUP($A225,[1]IRESS!$A$11:$AE$696,27,FALSE))/(VLOOKUP($A225,[1]IRESS!$A$11:$AE$696,27,FALSE)),"n/a")</f>
        <v>8.7252714164183509E-2</v>
      </c>
      <c r="W225" s="138">
        <f>IFERROR((($R225/VLOOKUP($A225,[1]IRESS!$A$11:$AE$696,29,FALSE))^(1/3)-1),"n/a")</f>
        <v>0.11668931747853328</v>
      </c>
      <c r="X225" s="142">
        <f>IFERROR((($R225/VLOOKUP($A225,[1]IRESS!$A$11:$AE$696,31,FALSE))^(1/5)-1),"n/a")</f>
        <v>0.13738343638890416</v>
      </c>
    </row>
    <row r="226" spans="1:24" ht="18.75">
      <c r="A226" s="129" t="s">
        <v>231</v>
      </c>
      <c r="B226" s="130" t="s">
        <v>227</v>
      </c>
      <c r="C226" s="148" t="str">
        <f>VLOOKUP((A226&amp;".ASX"),[1]IRESS!$J$11:$R$681,8,FALSE)</f>
        <v>S&amp;P/ASX Aust Fixed Int Idx Total Return</v>
      </c>
      <c r="D226" s="149"/>
      <c r="E226" s="116"/>
      <c r="F226" s="133" t="str">
        <f>_xlfn.IFNA(VLOOKUP(A226,'[1]mFund List'!$A$2:$I$200,6,FALSE),"n/a")</f>
        <v>n/a</v>
      </c>
      <c r="G226" s="134" t="str">
        <f>_xlfn.IFNA(VLOOKUP(A226,'[1]mFund List'!$A$2:$J$200,8,FALSE)/1000000,"n/a")</f>
        <v>n/a</v>
      </c>
      <c r="H226" s="135" t="str">
        <f>_xlfn.IFNA(VLOOKUP(A226,'[1]mFund List'!$A$2:$N$200,14,FALSE)/1000000,"n/a")</f>
        <v>n/a</v>
      </c>
      <c r="I226" s="134" t="str">
        <f>_xlfn.IFNA(VLOOKUP(A226,'[1]mFund List'!$A$2:$R$200,18,FALSE)/1000000,"n/a")</f>
        <v>n/a</v>
      </c>
      <c r="J226" s="136">
        <f>_xlfn.IFNA(VLOOKUP(A226,[1]IRESS!$A$10:$F$875,5,FALSE),"n/a")</f>
        <v>0</v>
      </c>
      <c r="K226" s="137">
        <f>_xlfn.IFNA(VLOOKUP(A226,[1]IRESS!$A$11:$G$684,7,FALSE),"n/a")</f>
        <v>0</v>
      </c>
      <c r="L226" s="136">
        <f>_xlfn.IFNA(VLOOKUP(A226,[1]IRESS!$A$10:$F$875,4,FALSE),"n/a")</f>
        <v>0</v>
      </c>
      <c r="M226" s="138" t="e">
        <f t="shared" si="3"/>
        <v>#VALUE!</v>
      </c>
      <c r="N226" s="139" t="e">
        <f>VLOOKUP(A226,[1]Spreads!$A$1:$G$87,2,FALSE)</f>
        <v>#N/A</v>
      </c>
      <c r="O226" s="137" t="e">
        <f>VLOOKUP(A226,[1]Spreads!$A$1:$G$87,5,FALSE)/1000</f>
        <v>#N/A</v>
      </c>
      <c r="P226" s="140" t="e">
        <f>VLOOKUP(A226,[1]Spreads!$A$1:$G$87,6,FALSE)/1000</f>
        <v>#N/A</v>
      </c>
      <c r="R226" s="156">
        <f>VLOOKUP(($A226&amp;".ASX"),[1]IRESS!$AF$11:$AG$681,2,FALSE)</f>
        <v>145.96627000000001</v>
      </c>
      <c r="S226" s="117"/>
      <c r="T226" s="142">
        <f>IFERROR(($R226-VLOOKUP($A226,[1]IRESS!$A$11:$AE$696,25,FALSE))/(VLOOKUP($A226,[1]IRESS!$A$11:$AE$696,25,FALSE)),"n/a")</f>
        <v>4.114933339221926E-3</v>
      </c>
      <c r="U226" s="138"/>
      <c r="V226" s="142">
        <f>IFERROR(($R226-VLOOKUP($A226,[1]IRESS!$A$11:$AE$696,27,FALSE))/(VLOOKUP($A226,[1]IRESS!$A$11:$AE$696,27,FALSE)),"n/a")</f>
        <v>3.1123896548440579E-2</v>
      </c>
      <c r="W226" s="138">
        <f>IFERROR((($R226/VLOOKUP($A226,[1]IRESS!$A$11:$AE$696,29,FALSE))^(1/3)-1),"n/a")</f>
        <v>3.4877316646126921E-2</v>
      </c>
      <c r="X226" s="142">
        <f>IFERROR((($R226/VLOOKUP($A226,[1]IRESS!$A$11:$AE$696,31,FALSE))^(1/5)-1),"n/a")</f>
        <v>4.561934533266454E-2</v>
      </c>
    </row>
    <row r="227" spans="1:24" ht="18.75">
      <c r="A227" s="129" t="s">
        <v>232</v>
      </c>
      <c r="B227" s="130" t="s">
        <v>227</v>
      </c>
      <c r="C227" s="148" t="str">
        <f>VLOOKUP((A227&amp;".ASX"),[1]IRESS!$J$11:$R$681,8,FALSE)</f>
        <v>S&amp;P/ASX Govt Bond Idx Total Return</v>
      </c>
      <c r="D227" s="149"/>
      <c r="E227" s="116"/>
      <c r="F227" s="133" t="str">
        <f>_xlfn.IFNA(VLOOKUP(A227,'[1]mFund List'!$A$2:$I$200,6,FALSE),"n/a")</f>
        <v>n/a</v>
      </c>
      <c r="G227" s="134" t="str">
        <f>_xlfn.IFNA(VLOOKUP(A227,'[1]mFund List'!$A$2:$J$200,8,FALSE)/1000000,"n/a")</f>
        <v>n/a</v>
      </c>
      <c r="H227" s="135" t="str">
        <f>_xlfn.IFNA(VLOOKUP(A227,'[1]mFund List'!$A$2:$N$200,14,FALSE)/1000000,"n/a")</f>
        <v>n/a</v>
      </c>
      <c r="I227" s="134" t="str">
        <f>_xlfn.IFNA(VLOOKUP(A227,'[1]mFund List'!$A$2:$R$200,18,FALSE)/1000000,"n/a")</f>
        <v>n/a</v>
      </c>
      <c r="J227" s="136">
        <f>_xlfn.IFNA(VLOOKUP(A227,[1]IRESS!$A$10:$F$875,5,FALSE),"n/a")</f>
        <v>0</v>
      </c>
      <c r="K227" s="137">
        <f>_xlfn.IFNA(VLOOKUP(A227,[1]IRESS!$A$11:$G$684,7,FALSE),"n/a")</f>
        <v>0</v>
      </c>
      <c r="L227" s="136">
        <f>_xlfn.IFNA(VLOOKUP(A227,[1]IRESS!$A$10:$F$875,4,FALSE),"n/a")</f>
        <v>0</v>
      </c>
      <c r="M227" s="138" t="e">
        <f t="shared" si="3"/>
        <v>#VALUE!</v>
      </c>
      <c r="N227" s="139" t="e">
        <f>VLOOKUP(A227,[1]Spreads!$A$1:$G$87,2,FALSE)</f>
        <v>#N/A</v>
      </c>
      <c r="O227" s="137" t="e">
        <f>VLOOKUP(A227,[1]Spreads!$A$1:$G$87,5,FALSE)/1000</f>
        <v>#N/A</v>
      </c>
      <c r="P227" s="140" t="e">
        <f>VLOOKUP(A227,[1]Spreads!$A$1:$G$87,6,FALSE)/1000</f>
        <v>#N/A</v>
      </c>
      <c r="R227" s="156">
        <f>VLOOKUP(($A227&amp;".ASX"),[1]IRESS!$AF$11:$AG$681,2,FALSE)</f>
        <v>145.29893000000001</v>
      </c>
      <c r="S227" s="117"/>
      <c r="T227" s="142">
        <f>IFERROR(($R227-VLOOKUP($A227,[1]IRESS!$A$11:$AE$696,25,FALSE))/(VLOOKUP($A227,[1]IRESS!$A$11:$AE$696,25,FALSE)),"n/a")</f>
        <v>4.4473217766890479E-3</v>
      </c>
      <c r="U227" s="138"/>
      <c r="V227" s="142">
        <f>IFERROR(($R227-VLOOKUP($A227,[1]IRESS!$A$11:$AE$696,27,FALSE))/(VLOOKUP($A227,[1]IRESS!$A$11:$AE$696,27,FALSE)),"n/a")</f>
        <v>3.0246793785261752E-2</v>
      </c>
      <c r="W227" s="138">
        <f>IFERROR((($R227/VLOOKUP($A227,[1]IRESS!$A$11:$AE$696,29,FALSE))^(1/3)-1),"n/a")</f>
        <v>3.415756002952075E-2</v>
      </c>
      <c r="X227" s="142">
        <f>IFERROR((($R227/VLOOKUP($A227,[1]IRESS!$A$11:$AE$696,31,FALSE))^(1/5)-1),"n/a")</f>
        <v>4.4846946944204102E-2</v>
      </c>
    </row>
    <row r="228" spans="1:24" ht="18.75">
      <c r="A228" s="56"/>
      <c r="B228" s="56"/>
      <c r="C228" s="57"/>
      <c r="D228" s="58"/>
      <c r="E228" s="116"/>
      <c r="F228" s="59"/>
      <c r="G228" s="59"/>
      <c r="H228" s="59"/>
      <c r="I228" s="59"/>
      <c r="J228" s="60"/>
      <c r="K228" s="60"/>
      <c r="L228" s="60"/>
      <c r="M228" s="60"/>
      <c r="N228" s="61"/>
      <c r="O228" s="61"/>
      <c r="P228" s="61"/>
      <c r="R228" s="61"/>
      <c r="S228" s="117"/>
      <c r="T228" s="62"/>
      <c r="U228" s="62"/>
      <c r="V228" s="62"/>
    </row>
    <row r="229" spans="1:24" ht="18.75">
      <c r="A229" s="87" t="s">
        <v>239</v>
      </c>
      <c r="B229" s="157"/>
      <c r="C229" s="157"/>
      <c r="D229" s="157"/>
      <c r="E229" s="157"/>
      <c r="F229" s="157"/>
      <c r="G229" s="157"/>
      <c r="H229" s="157"/>
      <c r="I229" s="157"/>
      <c r="J229" s="157"/>
      <c r="K229" s="157"/>
      <c r="L229" s="157"/>
      <c r="M229" s="157"/>
      <c r="N229" s="157"/>
      <c r="O229" s="157"/>
      <c r="P229" s="157"/>
      <c r="S229" s="117"/>
    </row>
    <row r="230" spans="1:24">
      <c r="A230" s="69" t="s">
        <v>498</v>
      </c>
      <c r="B230" s="66"/>
      <c r="C230" s="67"/>
      <c r="F230" s="69"/>
      <c r="H230" s="70"/>
      <c r="I230" s="70"/>
      <c r="J230" s="71"/>
      <c r="L230" s="7"/>
      <c r="M230" s="72"/>
      <c r="N230" s="73"/>
      <c r="O230" s="72"/>
      <c r="P230" s="72"/>
      <c r="R230" s="72"/>
      <c r="T230" s="74"/>
      <c r="U230" s="74"/>
      <c r="V230" s="74"/>
    </row>
    <row r="231" spans="1:24" ht="14.45" customHeight="1">
      <c r="A231" s="158" t="s">
        <v>499</v>
      </c>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row>
    <row r="232" spans="1:24">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row>
    <row r="233" spans="1:24">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row>
    <row r="234" spans="1:24">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row>
    <row r="235" spans="1:24">
      <c r="A235" s="76" t="str">
        <f>"All values are as at "&amp;TEXT([1]Setup!$K$4,"mmm-yy")&amp;". Month Total return, 1/3&amp;5 year annualised return data provided by Financial Express."</f>
        <v>All values are as at Jun-18. Month Total return, 1/3&amp;5 year annualised return data provided by Financial Express.</v>
      </c>
      <c r="B235" s="77"/>
      <c r="C235" s="78"/>
      <c r="D235" s="79"/>
      <c r="E235" s="79"/>
      <c r="F235" s="80"/>
      <c r="G235" s="80"/>
      <c r="H235" s="80"/>
      <c r="I235" s="80"/>
      <c r="J235" s="72"/>
      <c r="K235" s="72"/>
      <c r="L235" s="72"/>
      <c r="M235" s="72"/>
      <c r="N235" s="73"/>
      <c r="O235" s="72"/>
      <c r="P235" s="72"/>
      <c r="R235" s="72"/>
      <c r="T235" s="74"/>
      <c r="U235" s="74"/>
      <c r="V235" s="74"/>
    </row>
    <row r="236" spans="1:24">
      <c r="A236" s="107"/>
      <c r="B236" s="107"/>
      <c r="C236" s="107"/>
      <c r="D236" s="107"/>
      <c r="E236" s="107"/>
      <c r="F236" s="107"/>
      <c r="G236" s="107"/>
      <c r="H236" s="107"/>
      <c r="I236" s="107"/>
      <c r="J236" s="107"/>
      <c r="K236" s="107"/>
      <c r="L236" s="107"/>
      <c r="M236" s="107"/>
      <c r="N236" s="107"/>
      <c r="O236" s="107"/>
      <c r="P236" s="107"/>
      <c r="R236" s="83"/>
      <c r="T236" s="84"/>
      <c r="U236" s="84"/>
      <c r="V236" s="84"/>
    </row>
    <row r="237" spans="1:24">
      <c r="A237" s="77"/>
      <c r="B237" s="77"/>
      <c r="C237" s="159"/>
      <c r="D237" s="160"/>
      <c r="E237" s="85"/>
      <c r="F237" s="80"/>
      <c r="G237" s="80"/>
      <c r="H237" s="80"/>
      <c r="I237" s="80"/>
      <c r="J237" s="72"/>
      <c r="K237" s="72"/>
      <c r="L237" s="72"/>
      <c r="M237" s="72"/>
      <c r="N237" s="73"/>
      <c r="O237" s="72"/>
      <c r="P237" s="72"/>
      <c r="R237" s="72"/>
      <c r="T237" s="74"/>
      <c r="U237" s="74"/>
      <c r="V237" s="74"/>
    </row>
    <row r="238" spans="1:24">
      <c r="A238" s="161"/>
      <c r="B238" s="77"/>
      <c r="C238" s="159"/>
      <c r="D238" s="160"/>
      <c r="E238" s="85"/>
      <c r="F238" s="80"/>
      <c r="G238" s="80"/>
      <c r="H238" s="80"/>
      <c r="I238" s="80"/>
      <c r="J238" s="72"/>
      <c r="K238" s="72"/>
      <c r="L238" s="72"/>
      <c r="M238" s="72"/>
      <c r="N238" s="73"/>
      <c r="O238" s="72"/>
      <c r="P238" s="72"/>
      <c r="R238" s="72"/>
      <c r="T238" s="74"/>
      <c r="U238" s="74"/>
      <c r="V238" s="74"/>
    </row>
    <row r="239" spans="1:24">
      <c r="A239" s="77"/>
      <c r="B239" s="77"/>
      <c r="C239" s="159"/>
      <c r="D239" s="160"/>
      <c r="E239" s="85"/>
      <c r="F239" s="80"/>
      <c r="G239" s="80"/>
      <c r="H239" s="80"/>
      <c r="I239" s="80"/>
      <c r="J239" s="72"/>
      <c r="K239" s="72"/>
      <c r="L239" s="72"/>
      <c r="M239" s="72"/>
      <c r="N239" s="73"/>
      <c r="O239" s="72"/>
      <c r="P239" s="72"/>
      <c r="R239" s="72"/>
      <c r="T239" s="74"/>
      <c r="U239" s="74"/>
      <c r="V239" s="74"/>
    </row>
    <row r="240" spans="1:24">
      <c r="A240" s="77"/>
      <c r="B240" s="161"/>
      <c r="C240" s="67"/>
      <c r="D240" s="71"/>
      <c r="E240" s="71"/>
      <c r="F240" s="162"/>
      <c r="G240" s="163"/>
      <c r="H240" s="163"/>
      <c r="I240" s="163"/>
      <c r="J240" s="163"/>
      <c r="K240" s="163"/>
      <c r="L240" s="163"/>
      <c r="M240" s="163"/>
      <c r="N240" s="163"/>
      <c r="O240" s="164"/>
      <c r="P240" s="83"/>
      <c r="R240" s="83"/>
      <c r="T240" s="84"/>
      <c r="U240" s="84"/>
      <c r="V240" s="84"/>
    </row>
    <row r="241" spans="1:25">
      <c r="A241" s="77"/>
      <c r="B241" s="77"/>
      <c r="C241" s="159"/>
      <c r="D241" s="160"/>
      <c r="E241" s="85"/>
      <c r="F241" s="80"/>
      <c r="G241" s="80"/>
      <c r="H241" s="80"/>
      <c r="I241" s="80"/>
      <c r="J241" s="72"/>
      <c r="K241" s="72"/>
      <c r="L241" s="72"/>
      <c r="M241" s="72"/>
      <c r="N241" s="73"/>
      <c r="O241" s="72"/>
      <c r="P241" s="72"/>
      <c r="R241" s="72"/>
      <c r="T241" s="74"/>
      <c r="U241" s="74"/>
      <c r="V241" s="74"/>
    </row>
    <row r="242" spans="1:25">
      <c r="A242" s="161"/>
      <c r="B242" s="77"/>
      <c r="C242" s="159"/>
      <c r="D242" s="160"/>
      <c r="E242" s="85"/>
      <c r="F242" s="80"/>
      <c r="G242" s="80"/>
      <c r="H242" s="80"/>
      <c r="I242" s="80"/>
      <c r="J242" s="72"/>
      <c r="K242" s="72"/>
      <c r="L242" s="72"/>
      <c r="M242" s="72"/>
      <c r="N242" s="73"/>
      <c r="O242" s="72"/>
      <c r="P242" s="72"/>
      <c r="R242" s="72"/>
      <c r="T242" s="74"/>
      <c r="U242" s="74"/>
      <c r="V242" s="74"/>
    </row>
    <row r="243" spans="1:25">
      <c r="A243" s="77"/>
      <c r="B243" s="77"/>
      <c r="C243" s="159"/>
      <c r="D243" s="160"/>
      <c r="E243" s="85"/>
      <c r="F243" s="80"/>
      <c r="G243" s="80"/>
      <c r="H243" s="80"/>
      <c r="I243" s="80"/>
      <c r="J243" s="72"/>
      <c r="K243" s="72"/>
      <c r="L243" s="72"/>
      <c r="M243" s="72"/>
      <c r="N243" s="73"/>
      <c r="O243" s="72"/>
      <c r="P243" s="72"/>
      <c r="R243" s="72"/>
      <c r="T243" s="74"/>
      <c r="U243" s="74"/>
      <c r="V243" s="74"/>
    </row>
    <row r="244" spans="1:25">
      <c r="A244" s="77"/>
      <c r="B244" s="66"/>
      <c r="C244" s="88"/>
      <c r="D244" s="89"/>
      <c r="E244" s="89"/>
      <c r="F244" s="70"/>
      <c r="G244" s="90"/>
      <c r="H244" s="90"/>
      <c r="I244" s="90"/>
      <c r="J244" s="90"/>
      <c r="K244" s="90"/>
      <c r="P244" s="60"/>
      <c r="R244" s="60"/>
      <c r="T244" s="62"/>
      <c r="U244" s="62"/>
      <c r="V244" s="62"/>
    </row>
    <row r="245" spans="1:25">
      <c r="B245" s="91"/>
      <c r="C245" s="91"/>
      <c r="D245" s="91"/>
      <c r="E245" s="91"/>
      <c r="F245" s="92"/>
      <c r="G245" s="92"/>
      <c r="H245" s="92"/>
      <c r="I245" s="92"/>
      <c r="J245" s="92"/>
      <c r="K245" s="92"/>
      <c r="L245" s="92"/>
      <c r="M245" s="92"/>
      <c r="N245" s="92"/>
      <c r="O245" s="92"/>
      <c r="P245" s="92"/>
      <c r="R245" s="92"/>
      <c r="T245" s="93"/>
      <c r="U245" s="93"/>
      <c r="V245" s="93"/>
    </row>
    <row r="246" spans="1:25">
      <c r="A246" s="165"/>
      <c r="B246" s="165"/>
      <c r="C246" s="165"/>
      <c r="D246" s="165"/>
      <c r="E246" s="165"/>
      <c r="F246" s="165"/>
      <c r="G246" s="165"/>
      <c r="H246" s="165"/>
      <c r="I246" s="165"/>
      <c r="J246" s="165"/>
      <c r="K246" s="165"/>
      <c r="L246" s="165"/>
      <c r="M246" s="165"/>
      <c r="N246" s="165"/>
      <c r="O246" s="165"/>
      <c r="P246" s="165"/>
      <c r="R246" s="72"/>
      <c r="T246" s="74"/>
      <c r="U246" s="74"/>
      <c r="V246" s="74"/>
    </row>
    <row r="247" spans="1:25">
      <c r="A247" s="165"/>
      <c r="B247" s="165"/>
      <c r="C247" s="165"/>
      <c r="D247" s="165"/>
      <c r="E247" s="165"/>
      <c r="F247" s="165"/>
      <c r="G247" s="165"/>
      <c r="H247" s="165"/>
      <c r="I247" s="165"/>
      <c r="J247" s="165"/>
      <c r="K247" s="165"/>
      <c r="L247" s="165"/>
      <c r="M247" s="165"/>
      <c r="N247" s="165"/>
      <c r="O247" s="165"/>
      <c r="P247" s="165"/>
      <c r="R247" s="92"/>
      <c r="T247" s="93"/>
      <c r="U247" s="93"/>
      <c r="V247" s="93"/>
    </row>
    <row r="248" spans="1:25">
      <c r="A248" s="166"/>
      <c r="B248" s="166"/>
      <c r="C248" s="166"/>
      <c r="D248" s="166"/>
      <c r="E248" s="166"/>
      <c r="F248" s="166"/>
      <c r="G248" s="166"/>
      <c r="H248" s="166"/>
      <c r="I248" s="166"/>
      <c r="J248" s="166"/>
      <c r="K248" s="166"/>
      <c r="L248" s="166"/>
      <c r="M248" s="166"/>
      <c r="N248" s="166"/>
      <c r="O248" s="166"/>
      <c r="P248" s="166"/>
      <c r="R248" s="92"/>
      <c r="T248" s="93"/>
      <c r="U248" s="93"/>
      <c r="V248" s="93"/>
    </row>
    <row r="249" spans="1:25" s="64" customFormat="1" ht="14.45" customHeight="1">
      <c r="Y249" s="7"/>
    </row>
    <row r="250" spans="1:25" s="64" customFormat="1">
      <c r="Y250" s="7"/>
    </row>
    <row r="251" spans="1:25" s="64" customFormat="1">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7"/>
    </row>
    <row r="252" spans="1:25" s="64" customFormat="1">
      <c r="A252" s="7"/>
      <c r="B252" s="91"/>
      <c r="C252" s="91"/>
      <c r="D252" s="94"/>
      <c r="E252" s="94"/>
      <c r="Q252" s="7"/>
      <c r="S252" s="7"/>
      <c r="T252" s="65"/>
      <c r="U252" s="65"/>
      <c r="V252" s="65"/>
      <c r="W252" s="7"/>
      <c r="X252" s="7"/>
      <c r="Y252" s="7"/>
    </row>
    <row r="253" spans="1:25">
      <c r="A253" s="91"/>
      <c r="C253" s="91"/>
      <c r="D253" s="94"/>
      <c r="E253" s="94"/>
    </row>
    <row r="254" spans="1:25">
      <c r="C254" s="91"/>
      <c r="D254" s="94"/>
      <c r="E254" s="94"/>
    </row>
    <row r="255" spans="1:25">
      <c r="C255" s="91"/>
      <c r="D255" s="94"/>
      <c r="E255" s="94"/>
    </row>
    <row r="256" spans="1:25">
      <c r="C256" s="91"/>
      <c r="D256" s="94"/>
      <c r="E256" s="94"/>
    </row>
  </sheetData>
  <mergeCells count="81">
    <mergeCell ref="C241:D241"/>
    <mergeCell ref="C242:D242"/>
    <mergeCell ref="C243:D243"/>
    <mergeCell ref="C220:D220"/>
    <mergeCell ref="A231:X234"/>
    <mergeCell ref="A236:P236"/>
    <mergeCell ref="C237:D237"/>
    <mergeCell ref="C238:D238"/>
    <mergeCell ref="C239:D239"/>
    <mergeCell ref="C214:D214"/>
    <mergeCell ref="C215:D215"/>
    <mergeCell ref="C216:D216"/>
    <mergeCell ref="C217:D217"/>
    <mergeCell ref="C218:D218"/>
    <mergeCell ref="C219:D219"/>
    <mergeCell ref="C208:D208"/>
    <mergeCell ref="C209:D209"/>
    <mergeCell ref="C210:D210"/>
    <mergeCell ref="C211:D211"/>
    <mergeCell ref="C212:D212"/>
    <mergeCell ref="C213:D213"/>
    <mergeCell ref="C202:D202"/>
    <mergeCell ref="C203:D203"/>
    <mergeCell ref="C204:D204"/>
    <mergeCell ref="C205:D205"/>
    <mergeCell ref="C206:D206"/>
    <mergeCell ref="C207:D207"/>
    <mergeCell ref="C196:D196"/>
    <mergeCell ref="C197:D197"/>
    <mergeCell ref="C198:D198"/>
    <mergeCell ref="C199:D199"/>
    <mergeCell ref="C200:D200"/>
    <mergeCell ref="C201:D201"/>
    <mergeCell ref="C136:D136"/>
    <mergeCell ref="C137:D137"/>
    <mergeCell ref="C138:D138"/>
    <mergeCell ref="C139:D139"/>
    <mergeCell ref="C140:D140"/>
    <mergeCell ref="C141:D141"/>
    <mergeCell ref="C47:D47"/>
    <mergeCell ref="C48:D48"/>
    <mergeCell ref="C50:D50"/>
    <mergeCell ref="C58:D58"/>
    <mergeCell ref="C59:D59"/>
    <mergeCell ref="C60:D60"/>
    <mergeCell ref="C41:D41"/>
    <mergeCell ref="C42:D42"/>
    <mergeCell ref="C43:D43"/>
    <mergeCell ref="C44:D44"/>
    <mergeCell ref="C45:D45"/>
    <mergeCell ref="C46:D46"/>
    <mergeCell ref="C35:D35"/>
    <mergeCell ref="C36:D36"/>
    <mergeCell ref="C37:D37"/>
    <mergeCell ref="C38:D38"/>
    <mergeCell ref="C39:D39"/>
    <mergeCell ref="C40:D40"/>
    <mergeCell ref="C29:D29"/>
    <mergeCell ref="C30:D30"/>
    <mergeCell ref="C31:D31"/>
    <mergeCell ref="C32:D32"/>
    <mergeCell ref="C33:D33"/>
    <mergeCell ref="C34:D34"/>
    <mergeCell ref="C23:D23"/>
    <mergeCell ref="C24:D24"/>
    <mergeCell ref="C25:D25"/>
    <mergeCell ref="C26:D26"/>
    <mergeCell ref="C27:D27"/>
    <mergeCell ref="C28:D28"/>
    <mergeCell ref="C17:D17"/>
    <mergeCell ref="C18:D18"/>
    <mergeCell ref="C19:D19"/>
    <mergeCell ref="C20:D20"/>
    <mergeCell ref="C21:D21"/>
    <mergeCell ref="C22:D22"/>
    <mergeCell ref="C10:D10"/>
    <mergeCell ref="C12:D12"/>
    <mergeCell ref="C13:D13"/>
    <mergeCell ref="C14:D14"/>
    <mergeCell ref="C15:D15"/>
    <mergeCell ref="C16:D16"/>
  </mergeCells>
  <printOptions horizontalCentered="1"/>
  <pageMargins left="0" right="0" top="0" bottom="0" header="0.15748031496062992" footer="3.937007874015748E-2"/>
  <pageSetup paperSize="9" scale="77" fitToHeight="0" pageOrder="overThenDown" orientation="landscape" r:id="rId1"/>
  <headerFooter alignWithMargins="0"/>
  <rowBreaks count="8" manualBreakCount="8">
    <brk id="39" max="24" man="1"/>
    <brk id="68" max="24" man="1"/>
    <brk id="97" max="24" man="1"/>
    <brk id="112" max="24" man="1"/>
    <brk id="141" max="24" man="1"/>
    <brk id="170" max="24" man="1"/>
    <brk id="194" max="24" man="1"/>
    <brk id="220"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Z233"/>
  <sheetViews>
    <sheetView showGridLines="0" view="pageBreakPreview" topLeftCell="A103" zoomScale="70" zoomScaleNormal="85" zoomScaleSheetLayoutView="70" workbookViewId="0">
      <selection activeCell="T46" sqref="T46"/>
    </sheetView>
  </sheetViews>
  <sheetFormatPr defaultColWidth="9" defaultRowHeight="15"/>
  <cols>
    <col min="1" max="1" width="9" style="7" customWidth="1"/>
    <col min="2" max="2" width="5.5" style="7" customWidth="1"/>
    <col min="3" max="3" width="11" style="7" customWidth="1"/>
    <col min="4" max="4" width="30.75" style="68" customWidth="1"/>
    <col min="5" max="5" width="0.5" style="198" customWidth="1"/>
    <col min="6" max="6" width="6" style="7" customWidth="1"/>
    <col min="7" max="7" width="6.75" style="7" customWidth="1"/>
    <col min="8" max="8" width="6.625" style="7" customWidth="1"/>
    <col min="9" max="9" width="8.125" style="7" customWidth="1"/>
    <col min="10" max="10" width="9.875" style="7" customWidth="1"/>
    <col min="11" max="11" width="11.125" style="7" customWidth="1"/>
    <col min="12" max="13" width="8.5" style="7" customWidth="1"/>
    <col min="14" max="14" width="7.625" style="7" hidden="1" customWidth="1"/>
    <col min="15" max="15" width="9.875" style="7" bestFit="1" customWidth="1"/>
    <col min="16" max="16" width="9.875" style="7" customWidth="1"/>
    <col min="17" max="17" width="0.5" style="7" customWidth="1"/>
    <col min="18" max="18" width="9.875" style="68" customWidth="1"/>
    <col min="19" max="20" width="9" style="7"/>
    <col min="21" max="21" width="0.5" style="7" customWidth="1"/>
    <col min="22" max="22" width="9.75" style="7" customWidth="1"/>
    <col min="23" max="16384" width="9" style="7"/>
  </cols>
  <sheetData>
    <row r="1" spans="1:26" s="5" customFormat="1">
      <c r="A1" s="167"/>
      <c r="B1" s="167"/>
      <c r="C1" s="167"/>
      <c r="D1" s="168"/>
      <c r="E1" s="167"/>
      <c r="F1" s="167"/>
      <c r="G1" s="167"/>
      <c r="H1" s="167"/>
      <c r="I1" s="167"/>
      <c r="J1" s="167"/>
      <c r="K1" s="167"/>
      <c r="L1" s="167"/>
      <c r="M1" s="167"/>
      <c r="N1" s="167"/>
      <c r="O1" s="167"/>
      <c r="P1" s="167"/>
      <c r="Q1" s="167"/>
      <c r="R1" s="168"/>
      <c r="S1" s="167"/>
      <c r="T1" s="167"/>
      <c r="U1" s="167"/>
      <c r="V1" s="167"/>
      <c r="W1" s="167"/>
      <c r="X1" s="167"/>
      <c r="Y1" s="167"/>
      <c r="Z1" s="167"/>
    </row>
    <row r="2" spans="1:26" s="5" customFormat="1">
      <c r="A2" s="167"/>
      <c r="B2" s="167"/>
      <c r="C2" s="167"/>
      <c r="D2" s="168"/>
      <c r="E2" s="167"/>
      <c r="F2" s="167"/>
      <c r="G2" s="167"/>
      <c r="H2" s="167"/>
      <c r="I2" s="167"/>
      <c r="J2" s="167"/>
      <c r="K2" s="167"/>
      <c r="L2" s="167"/>
      <c r="M2" s="167"/>
      <c r="N2" s="167"/>
      <c r="O2" s="167"/>
      <c r="P2" s="167"/>
      <c r="Q2" s="167"/>
      <c r="R2" s="168"/>
      <c r="S2" s="167"/>
      <c r="T2" s="167"/>
      <c r="U2" s="167"/>
      <c r="V2" s="167"/>
      <c r="W2" s="167"/>
      <c r="X2" s="167"/>
      <c r="Y2" s="167"/>
      <c r="Z2" s="167"/>
    </row>
    <row r="3" spans="1:26" s="5" customFormat="1" ht="14.45" customHeight="1">
      <c r="A3" s="167"/>
      <c r="B3" s="167"/>
      <c r="C3" s="167"/>
      <c r="D3" s="169"/>
      <c r="E3" s="169"/>
      <c r="F3" s="169"/>
      <c r="G3" s="169"/>
      <c r="H3" s="169"/>
      <c r="I3" s="169"/>
      <c r="J3" s="169"/>
      <c r="K3" s="169"/>
      <c r="L3" s="169"/>
      <c r="M3" s="169"/>
      <c r="N3" s="167"/>
      <c r="O3" s="167"/>
      <c r="P3" s="167"/>
      <c r="Q3" s="167"/>
      <c r="R3" s="168"/>
      <c r="S3" s="167"/>
      <c r="T3" s="167"/>
      <c r="U3" s="167"/>
      <c r="V3" s="167"/>
      <c r="W3" s="167"/>
      <c r="X3" s="167"/>
      <c r="Y3" s="167"/>
      <c r="Z3" s="167"/>
    </row>
    <row r="4" spans="1:26" s="5" customFormat="1" ht="14.45" customHeight="1">
      <c r="A4" s="167"/>
      <c r="B4" s="167"/>
      <c r="C4" s="167"/>
      <c r="D4" s="169"/>
      <c r="E4" s="169"/>
      <c r="F4" s="169"/>
      <c r="G4" s="169"/>
      <c r="H4" s="169"/>
      <c r="I4" s="169"/>
      <c r="J4" s="169"/>
      <c r="K4" s="169"/>
      <c r="L4" s="169"/>
      <c r="M4" s="169"/>
      <c r="N4" s="167"/>
      <c r="O4" s="167"/>
      <c r="P4" s="167"/>
      <c r="Q4" s="167"/>
      <c r="R4" s="168"/>
      <c r="S4" s="167"/>
      <c r="T4" s="167"/>
      <c r="U4" s="167"/>
      <c r="V4" s="167"/>
      <c r="W4" s="167"/>
      <c r="X4" s="167"/>
      <c r="Y4" s="167"/>
      <c r="Z4" s="167"/>
    </row>
    <row r="5" spans="1:26" s="5" customFormat="1" ht="14.45" customHeight="1">
      <c r="A5" s="167"/>
      <c r="B5" s="167"/>
      <c r="C5" s="167"/>
      <c r="D5" s="169"/>
      <c r="E5" s="169"/>
      <c r="F5" s="169"/>
      <c r="G5" s="169"/>
      <c r="H5" s="169"/>
      <c r="I5" s="169"/>
      <c r="J5" s="169"/>
      <c r="K5" s="169"/>
      <c r="L5" s="169"/>
      <c r="M5" s="169"/>
      <c r="N5" s="167"/>
      <c r="O5" s="167"/>
      <c r="P5" s="167"/>
      <c r="Q5" s="167"/>
      <c r="R5" s="168"/>
      <c r="S5" s="167"/>
      <c r="T5" s="167"/>
      <c r="U5" s="167"/>
      <c r="V5" s="167"/>
      <c r="W5" s="167"/>
      <c r="X5" s="167"/>
      <c r="Y5" s="167"/>
      <c r="Z5" s="167"/>
    </row>
    <row r="6" spans="1:26" ht="14.45" customHeight="1">
      <c r="A6" s="167"/>
      <c r="B6" s="167"/>
      <c r="C6" s="167"/>
      <c r="D6" s="169"/>
      <c r="E6" s="169"/>
      <c r="F6" s="169"/>
      <c r="G6" s="169"/>
      <c r="H6" s="169"/>
      <c r="I6" s="169"/>
      <c r="J6" s="169"/>
      <c r="K6" s="169"/>
      <c r="L6" s="169"/>
      <c r="M6" s="169"/>
      <c r="N6" s="167"/>
      <c r="O6" s="167"/>
      <c r="P6" s="167"/>
      <c r="Q6" s="167"/>
      <c r="R6" s="168"/>
      <c r="S6" s="167"/>
      <c r="T6" s="167"/>
      <c r="U6" s="167"/>
      <c r="V6" s="167"/>
      <c r="W6" s="167"/>
      <c r="X6" s="167"/>
      <c r="Y6" s="167"/>
      <c r="Z6" s="167"/>
    </row>
    <row r="7" spans="1:26">
      <c r="A7" s="167"/>
      <c r="B7" s="167"/>
      <c r="C7" s="167"/>
      <c r="D7" s="168"/>
      <c r="E7" s="167"/>
      <c r="F7" s="167"/>
      <c r="G7" s="167"/>
      <c r="H7" s="167"/>
      <c r="I7" s="167"/>
      <c r="J7" s="167"/>
      <c r="K7" s="167"/>
      <c r="L7" s="167"/>
      <c r="M7" s="167"/>
      <c r="N7" s="167"/>
      <c r="O7" s="167"/>
      <c r="P7" s="167"/>
      <c r="Q7" s="167"/>
      <c r="R7" s="168"/>
      <c r="S7" s="167"/>
      <c r="T7" s="167"/>
      <c r="U7" s="167"/>
      <c r="V7" s="167"/>
      <c r="W7" s="167"/>
      <c r="X7" s="167"/>
      <c r="Y7" s="167"/>
      <c r="Z7" s="167"/>
    </row>
    <row r="8" spans="1:26" s="9" customFormat="1" ht="18" customHeight="1">
      <c r="A8" s="8" t="str">
        <f>"Listed Investments Summary - "&amp;TEXT([1]Setup!$K$2,"mmmm yyyy")</f>
        <v>Listed Investments Summary - June 2018</v>
      </c>
      <c r="U8" s="7"/>
      <c r="Z8" s="10" t="str">
        <f>"Transaction days: "&amp;[1]Setup!$K$8&amp;" / Period ending: "&amp;TEXT([1]Setup!$K$4,"dddd, dd mmmm yyyy")</f>
        <v>Transaction days: 23 / Period ending: Friday, 29 June 2018</v>
      </c>
    </row>
    <row r="9" spans="1:26" s="171" customFormat="1" ht="16.899999999999999" customHeight="1">
      <c r="A9" s="170" t="s">
        <v>500</v>
      </c>
      <c r="B9" s="170"/>
      <c r="C9" s="170"/>
      <c r="D9" s="170"/>
      <c r="E9" s="9"/>
      <c r="F9" s="170" t="s">
        <v>1</v>
      </c>
      <c r="G9" s="170"/>
      <c r="H9" s="170"/>
      <c r="I9" s="170"/>
      <c r="J9" s="170"/>
      <c r="K9" s="170"/>
      <c r="L9" s="170"/>
      <c r="M9" s="170"/>
      <c r="N9" s="170"/>
      <c r="O9" s="170"/>
      <c r="P9" s="170"/>
      <c r="Q9" s="9"/>
      <c r="R9" s="170" t="s">
        <v>2</v>
      </c>
      <c r="S9" s="170"/>
      <c r="T9" s="170"/>
      <c r="U9" s="7"/>
      <c r="V9" s="170" t="s">
        <v>3</v>
      </c>
      <c r="W9" s="170"/>
      <c r="X9" s="170"/>
      <c r="Y9" s="170"/>
      <c r="Z9" s="170"/>
    </row>
    <row r="10" spans="1:26" ht="41.45" customHeight="1">
      <c r="A10" s="13" t="s">
        <v>4</v>
      </c>
      <c r="B10" s="13" t="s">
        <v>241</v>
      </c>
      <c r="C10" s="97" t="s">
        <v>6</v>
      </c>
      <c r="D10" s="98"/>
      <c r="E10" s="9"/>
      <c r="F10" s="16" t="s">
        <v>7</v>
      </c>
      <c r="G10" s="16" t="s">
        <v>501</v>
      </c>
      <c r="H10" s="17" t="s">
        <v>502</v>
      </c>
      <c r="I10" s="17" t="s">
        <v>503</v>
      </c>
      <c r="J10" s="17" t="s">
        <v>11</v>
      </c>
      <c r="K10" s="17" t="s">
        <v>12</v>
      </c>
      <c r="L10" s="17" t="s">
        <v>294</v>
      </c>
      <c r="M10" s="17" t="s">
        <v>14</v>
      </c>
      <c r="N10" s="172" t="s">
        <v>504</v>
      </c>
      <c r="O10" s="17" t="s">
        <v>505</v>
      </c>
      <c r="P10" s="17" t="s">
        <v>506</v>
      </c>
      <c r="Q10" s="9"/>
      <c r="R10" s="17" t="s">
        <v>18</v>
      </c>
      <c r="S10" s="17" t="s">
        <v>19</v>
      </c>
      <c r="T10" s="17" t="s">
        <v>20</v>
      </c>
      <c r="V10" s="18" t="s">
        <v>21</v>
      </c>
      <c r="W10" s="18" t="s">
        <v>22</v>
      </c>
      <c r="X10" s="18" t="s">
        <v>23</v>
      </c>
      <c r="Y10" s="18" t="s">
        <v>24</v>
      </c>
      <c r="Z10" s="18" t="s">
        <v>25</v>
      </c>
    </row>
    <row r="11" spans="1:26" s="167" customFormat="1">
      <c r="A11" s="173" t="s">
        <v>26</v>
      </c>
      <c r="B11" s="173"/>
      <c r="C11" s="173"/>
      <c r="D11" s="173"/>
      <c r="E11" s="9"/>
      <c r="F11" s="173"/>
      <c r="G11" s="173"/>
      <c r="H11" s="173"/>
      <c r="I11" s="173"/>
      <c r="J11" s="173"/>
      <c r="K11" s="173"/>
      <c r="L11" s="173"/>
      <c r="M11" s="173"/>
      <c r="N11" s="173"/>
      <c r="O11" s="173"/>
      <c r="P11" s="173"/>
      <c r="Q11" s="9"/>
      <c r="R11" s="173"/>
      <c r="S11" s="173"/>
      <c r="T11" s="173"/>
      <c r="U11" s="7"/>
      <c r="V11" s="173"/>
      <c r="W11" s="173"/>
      <c r="X11" s="173"/>
      <c r="Y11" s="173"/>
      <c r="Z11" s="173"/>
    </row>
    <row r="12" spans="1:26">
      <c r="A12" s="21" t="s">
        <v>507</v>
      </c>
      <c r="B12" s="174" t="s">
        <v>508</v>
      </c>
      <c r="C12" s="23" t="str">
        <f>VLOOKUP(A12,'[1]LIC List'!$A$2:$B$158,2,FALSE)</f>
        <v>Australian Foundation Investment Company Limited</v>
      </c>
      <c r="D12" s="175"/>
      <c r="E12" s="9"/>
      <c r="F12" s="176">
        <f>_xlfn.IFNA(VLOOKUP(A12,'[1]LIC List'!$A$2:$I$136,6,FALSE),"n/a")</f>
        <v>0.18</v>
      </c>
      <c r="G12" s="26" t="str">
        <f>_xlfn.IFNA(VLOOKUP(A12,'[1]LIC List'!$A$2:$J$112,10,FALSE),"n/a")</f>
        <v>No</v>
      </c>
      <c r="H12" s="176">
        <f>_xlfn.IFNA(VLOOKUP(A12,'[1]LIC List'!$A$2:$J$145,8,FALSE)/1000000,"n/a")</f>
        <v>7306.6630190400001</v>
      </c>
      <c r="I12" s="26">
        <f>_xlfn.IFNA(VLOOKUP(A12,'[1]LIC List'!$A$2:$N$136,14,FALSE)/1000000,"n/a")</f>
        <v>189.78345503999995</v>
      </c>
      <c r="J12" s="177">
        <f>_xlfn.IFNA(VLOOKUP(A12,[1]IRESS!$A$10:$F$875,5,FALSE),"n/a")</f>
        <v>59343784.624999985</v>
      </c>
      <c r="K12" s="28">
        <f>_xlfn.IFNA(VLOOKUP(A12,[1]IRESS!$A$11:$G$772,7,FALSE),"n/a")</f>
        <v>9731702</v>
      </c>
      <c r="L12" s="177">
        <f>_xlfn.IFNA(VLOOKUP(A12,[1]IRESS!$A$10:$F$875,4,FALSE),"n/a")</f>
        <v>7095</v>
      </c>
      <c r="M12" s="29">
        <f>IFERROR(+K12/(H12*1000000),"n/a")</f>
        <v>1.3318941868046652E-3</v>
      </c>
      <c r="N12" s="104" t="e">
        <f>VLOOKUP(A12,[1]Spreads!$A$1:$G$87,7,FALSE)</f>
        <v>#N/A</v>
      </c>
      <c r="O12" s="178">
        <f>IFERROR(VLOOKUP(A12,'[1]LIC List'!$E$2:$R$112,14,FALSE),"n/a")</f>
        <v>-4.9423393739703725E-3</v>
      </c>
      <c r="P12" s="179">
        <f>IFERROR(VLOOKUP(A12,[1]NAV!$B$3:$F$310,5,FALSE),"n/a")</f>
        <v>43251</v>
      </c>
      <c r="Q12" s="9"/>
      <c r="R12" s="180">
        <f>_xlfn.IFNA(VLOOKUP($A12,[1]IRESS!$A$11:$AE$696,6,FALSE)/100,"n/a")</f>
        <v>6.16</v>
      </c>
      <c r="S12" s="32">
        <f>_xlfn.IFNA(VLOOKUP($A12,[1]IRESS!$A$11:$AE$696,21,FALSE)/100,"n/a")</f>
        <v>6.44</v>
      </c>
      <c r="T12" s="180">
        <f>_xlfn.IFNA(VLOOKUP($A12,[1]IRESS!$A$11:$AE$696,22,FALSE)/100,"n/a")</f>
        <v>5.78</v>
      </c>
      <c r="V12" s="35">
        <f>IFERROR((VLOOKUP($A12,[1]IRESS!$A$11:$AE$696,20,FALSE)/100)/R12,"n/a")</f>
        <v>3.896103896103896E-2</v>
      </c>
      <c r="W12" s="181">
        <f>IFERROR(VLOOKUP($A12,[1]Morningstar!$A$2:$F$477,3,FALSE),"n/a")</f>
        <v>2.3199999999999998E-2</v>
      </c>
      <c r="X12" s="35">
        <f>IFERROR(VLOOKUP($A12,[1]Morningstar!$A$2:$F$477,4,FALSE),"n/a")</f>
        <v>0.10340000000000001</v>
      </c>
      <c r="Y12" s="181">
        <f>IFERROR(VLOOKUP($A12,[1]Morningstar!$A$2:$F$477,5,FALSE),"n/a")</f>
        <v>4.4200000000000003E-2</v>
      </c>
      <c r="Z12" s="35">
        <f>IFERROR(VLOOKUP($A12,[1]Morningstar!$A$2:$F$477,6,FALSE),"n/a")</f>
        <v>6.6500000000000004E-2</v>
      </c>
    </row>
    <row r="13" spans="1:26">
      <c r="A13" s="21" t="s">
        <v>509</v>
      </c>
      <c r="B13" s="174" t="s">
        <v>508</v>
      </c>
      <c r="C13" s="23" t="str">
        <f>VLOOKUP(A13,'[1]LIC List'!$A$2:$B$136,2,FALSE)</f>
        <v>Concentrated Leaders Fund</v>
      </c>
      <c r="D13" s="175"/>
      <c r="E13" s="9"/>
      <c r="F13" s="176">
        <f>_xlfn.IFNA(VLOOKUP(A13,'[1]LIC List'!$A$2:$I$136,6,FALSE),"n/a")</f>
        <v>2.4</v>
      </c>
      <c r="G13" s="26" t="str">
        <f>_xlfn.IFNA(VLOOKUP(A13,'[1]LIC List'!$A$2:$J$112,10,FALSE),"n/a")</f>
        <v>No</v>
      </c>
      <c r="H13" s="176">
        <f>_xlfn.IFNA(VLOOKUP(A13,'[1]LIC List'!$A$2:$J$145,8,FALSE)/1000000,"n/a")</f>
        <v>73.360922895000016</v>
      </c>
      <c r="I13" s="26">
        <f>_xlfn.IFNA(VLOOKUP(A13,'[1]LIC List'!$A$2:$N$136,14,FALSE)/1000000,"n/a")</f>
        <v>0</v>
      </c>
      <c r="J13" s="177">
        <f>_xlfn.IFNA(VLOOKUP(A13,[1]IRESS!$A$10:$F$875,5,FALSE),"n/a")</f>
        <v>379277.22499999998</v>
      </c>
      <c r="K13" s="28">
        <f>_xlfn.IFNA(VLOOKUP(A13,[1]IRESS!$A$11:$G$772,7,FALSE),"n/a")</f>
        <v>300480</v>
      </c>
      <c r="L13" s="177">
        <f>_xlfn.IFNA(VLOOKUP(A13,[1]IRESS!$A$10:$F$875,4,FALSE),"n/a")</f>
        <v>63</v>
      </c>
      <c r="M13" s="29">
        <f t="shared" ref="M13:M77" si="0">IFERROR(+K13/(H13*1000000),"n/a")</f>
        <v>4.0959135755430842E-3</v>
      </c>
      <c r="N13" s="104" t="e">
        <f>VLOOKUP(A13,[1]Spreads!$A$1:$G$87,7,FALSE)</f>
        <v>#N/A</v>
      </c>
      <c r="O13" s="178">
        <f>IFERROR(VLOOKUP(A13,'[1]LIC List'!$E$2:$R$112,14,FALSE),"n/a")</f>
        <v>-8.8888888888888906E-2</v>
      </c>
      <c r="P13" s="179">
        <f>IFERROR(VLOOKUP(A13,[1]NAV!$B$3:$F$310,5,FALSE),"n/a")</f>
        <v>43251</v>
      </c>
      <c r="Q13" s="9"/>
      <c r="R13" s="180">
        <f>_xlfn.IFNA(VLOOKUP($A13,[1]IRESS!$A$11:$AE$696,6,FALSE)/100,"n/a")</f>
        <v>1.2350000000000001</v>
      </c>
      <c r="S13" s="32">
        <f>_xlfn.IFNA(VLOOKUP($A13,[1]IRESS!$A$11:$AE$696,21,FALSE)/100,"n/a")</f>
        <v>1.29</v>
      </c>
      <c r="T13" s="180">
        <f>_xlfn.IFNA(VLOOKUP($A13,[1]IRESS!$A$11:$AE$696,22,FALSE)/100,"n/a")</f>
        <v>1.1299999999999999</v>
      </c>
      <c r="V13" s="35">
        <f>IFERROR((VLOOKUP($A13,[1]IRESS!$A$11:$AE$696,20,FALSE)/100)/R13,"n/a")</f>
        <v>4.4534412955465584E-2</v>
      </c>
      <c r="W13" s="181">
        <f>IFERROR(VLOOKUP($A13,[1]Morningstar!$A$2:$F$477,3,FALSE),"n/a")</f>
        <v>2.24E-2</v>
      </c>
      <c r="X13" s="35">
        <f>IFERROR(VLOOKUP($A13,[1]Morningstar!$A$2:$F$477,4,FALSE),"n/a")</f>
        <v>0.10340000000000001</v>
      </c>
      <c r="Y13" s="181">
        <f>IFERROR(VLOOKUP($A13,[1]Morningstar!$A$2:$F$477,5,FALSE),"n/a")</f>
        <v>8.1000000000000003E-2</v>
      </c>
      <c r="Z13" s="35">
        <f>IFERROR(VLOOKUP($A13,[1]Morningstar!$A$2:$F$477,6,FALSE),"n/a")</f>
        <v>5.0299999999999997E-2</v>
      </c>
    </row>
    <row r="14" spans="1:26">
      <c r="A14" s="21" t="s">
        <v>510</v>
      </c>
      <c r="B14" s="174" t="s">
        <v>508</v>
      </c>
      <c r="C14" s="23" t="str">
        <f>VLOOKUP(A14,'[1]LIC List'!$A$2:$B$136,2,FALSE)</f>
        <v>AMCIL Limited</v>
      </c>
      <c r="D14" s="175"/>
      <c r="E14" s="9"/>
      <c r="F14" s="176">
        <f>_xlfn.IFNA(VLOOKUP(A14,'[1]LIC List'!$A$2:$I$136,6,FALSE),"n/a")</f>
        <v>0.77</v>
      </c>
      <c r="G14" s="26" t="str">
        <f>_xlfn.IFNA(VLOOKUP(A14,'[1]LIC List'!$A$2:$J$112,10,FALSE),"n/a")</f>
        <v>No</v>
      </c>
      <c r="H14" s="176">
        <f>_xlfn.IFNA(VLOOKUP(A14,'[1]LIC List'!$A$2:$J$145,8,FALSE)/1000000,"n/a")</f>
        <v>251.03978304</v>
      </c>
      <c r="I14" s="26">
        <f>_xlfn.IFNA(VLOOKUP(A14,'[1]LIC List'!$A$2:$N$136,14,FALSE)/1000000,"n/a")</f>
        <v>10.459990959999979</v>
      </c>
      <c r="J14" s="177">
        <f>_xlfn.IFNA(VLOOKUP(A14,[1]IRESS!$A$10:$F$875,5,FALSE),"n/a")</f>
        <v>2433558.9150000005</v>
      </c>
      <c r="K14" s="28">
        <f>_xlfn.IFNA(VLOOKUP(A14,[1]IRESS!$A$11:$G$772,7,FALSE),"n/a")</f>
        <v>2566290</v>
      </c>
      <c r="L14" s="177">
        <f>_xlfn.IFNA(VLOOKUP(A14,[1]IRESS!$A$10:$F$875,4,FALSE),"n/a")</f>
        <v>382</v>
      </c>
      <c r="M14" s="29">
        <f t="shared" si="0"/>
        <v>1.0222642678077419E-2</v>
      </c>
      <c r="N14" s="104" t="e">
        <f>VLOOKUP(A14,[1]Spreads!$A$1:$G$87,7,FALSE)</f>
        <v>#N/A</v>
      </c>
      <c r="O14" s="178">
        <f>IFERROR(VLOOKUP(A14,'[1]LIC List'!$E$2:$R$112,14,FALSE),"n/a")</f>
        <v>-6.5656565656565635E-2</v>
      </c>
      <c r="P14" s="179">
        <f>IFERROR(VLOOKUP(A14,[1]NAV!$B$3:$F$310,5,FALSE),"n/a")</f>
        <v>43251</v>
      </c>
      <c r="Q14" s="9"/>
      <c r="R14" s="180">
        <f>_xlfn.IFNA(VLOOKUP($A14,[1]IRESS!$A$11:$AE$696,6,FALSE)/100,"n/a")</f>
        <v>0.96</v>
      </c>
      <c r="S14" s="32">
        <f>_xlfn.IFNA(VLOOKUP($A14,[1]IRESS!$A$11:$AE$696,21,FALSE)/100,"n/a")</f>
        <v>0.97499999999999998</v>
      </c>
      <c r="T14" s="180">
        <f>_xlfn.IFNA(VLOOKUP($A14,[1]IRESS!$A$11:$AE$696,22,FALSE)/100,"n/a")</f>
        <v>0.84499999999999997</v>
      </c>
      <c r="V14" s="35">
        <f>IFERROR((VLOOKUP($A14,[1]IRESS!$A$11:$AE$696,20,FALSE)/100)/R14,"n/a")</f>
        <v>3.6458333333333336E-2</v>
      </c>
      <c r="W14" s="181">
        <f>IFERROR(VLOOKUP($A14,[1]Morningstar!$A$2:$F$477,3,FALSE),"n/a")</f>
        <v>3.2199999999999999E-2</v>
      </c>
      <c r="X14" s="35">
        <f>IFERROR(VLOOKUP($A14,[1]Morningstar!$A$2:$F$477,4,FALSE),"n/a")</f>
        <v>9.1499999999999998E-2</v>
      </c>
      <c r="Y14" s="181">
        <f>IFERROR(VLOOKUP($A14,[1]Morningstar!$A$2:$F$477,5,FALSE),"n/a")</f>
        <v>6.4500000000000002E-2</v>
      </c>
      <c r="Z14" s="35">
        <f>IFERROR(VLOOKUP($A14,[1]Morningstar!$A$2:$F$477,6,FALSE),"n/a")</f>
        <v>7.9699999999999993E-2</v>
      </c>
    </row>
    <row r="15" spans="1:26">
      <c r="A15" s="21" t="s">
        <v>511</v>
      </c>
      <c r="B15" s="174" t="s">
        <v>508</v>
      </c>
      <c r="C15" s="23" t="str">
        <f>VLOOKUP(A15,'[1]LIC List'!$A$2:$B$136,2,FALSE)</f>
        <v>Australian Governance Masters Index Fund Limited</v>
      </c>
      <c r="D15" s="175"/>
      <c r="E15" s="9"/>
      <c r="F15" s="176">
        <f>_xlfn.IFNA(VLOOKUP(A15,'[1]LIC List'!$A$2:$I$136,6,FALSE),"n/a")</f>
        <v>0.49</v>
      </c>
      <c r="G15" s="26" t="str">
        <f>_xlfn.IFNA(VLOOKUP(A15,'[1]LIC List'!$A$2:$J$112,10,FALSE),"n/a")</f>
        <v>No</v>
      </c>
      <c r="H15" s="176">
        <f>_xlfn.IFNA(VLOOKUP(A15,'[1]LIC List'!$A$2:$J$145,8,FALSE)/1000000,"n/a")</f>
        <v>41.743734550000006</v>
      </c>
      <c r="I15" s="26">
        <f>_xlfn.IFNA(VLOOKUP(A15,'[1]LIC List'!$A$2:$N$136,14,FALSE)/1000000,"n/a")</f>
        <v>-2.9035824499999956</v>
      </c>
      <c r="J15" s="177">
        <f>_xlfn.IFNA(VLOOKUP(A15,[1]IRESS!$A$10:$F$875,5,FALSE),"n/a")</f>
        <v>258712.06000000003</v>
      </c>
      <c r="K15" s="28">
        <f>_xlfn.IFNA(VLOOKUP(A15,[1]IRESS!$A$11:$G$772,7,FALSE),"n/a")</f>
        <v>142622</v>
      </c>
      <c r="L15" s="177">
        <f>_xlfn.IFNA(VLOOKUP(A15,[1]IRESS!$A$10:$F$875,4,FALSE),"n/a")</f>
        <v>43</v>
      </c>
      <c r="M15" s="29">
        <f t="shared" si="0"/>
        <v>3.4166085410774535E-3</v>
      </c>
      <c r="N15" s="104" t="e">
        <f>VLOOKUP(A15,[1]Spreads!$A$1:$G$87,7,FALSE)</f>
        <v>#N/A</v>
      </c>
      <c r="O15" s="178">
        <f>IFERROR(VLOOKUP(A15,'[1]LIC List'!$E$2:$R$112,14,FALSE),"n/a")</f>
        <v>-9.0909090909090939E-2</v>
      </c>
      <c r="P15" s="179">
        <f>IFERROR(VLOOKUP(A15,[1]NAV!$B$3:$F$310,5,FALSE),"n/a")</f>
        <v>43251</v>
      </c>
      <c r="Q15" s="9"/>
      <c r="R15" s="180">
        <f>_xlfn.IFNA(VLOOKUP($A15,[1]IRESS!$A$11:$AE$696,6,FALSE)/100,"n/a")</f>
        <v>1.85</v>
      </c>
      <c r="S15" s="32">
        <f>_xlfn.IFNA(VLOOKUP($A15,[1]IRESS!$A$11:$AE$696,21,FALSE)/100,"n/a")</f>
        <v>2.02</v>
      </c>
      <c r="T15" s="180">
        <f>_xlfn.IFNA(VLOOKUP($A15,[1]IRESS!$A$11:$AE$696,22,FALSE)/100,"n/a")</f>
        <v>1.79</v>
      </c>
      <c r="V15" s="35">
        <f>IFERROR((VLOOKUP($A15,[1]IRESS!$A$11:$AE$696,20,FALSE)/100)/R15,"n/a")</f>
        <v>3.2432432432432427E-2</v>
      </c>
      <c r="W15" s="181">
        <f>IFERROR(VLOOKUP($A15,[1]Morningstar!$A$2:$F$477,3,FALSE),"n/a")</f>
        <v>2.7799999999999998E-2</v>
      </c>
      <c r="X15" s="35">
        <f>IFERROR(VLOOKUP($A15,[1]Morningstar!$A$2:$F$477,4,FALSE),"n/a")</f>
        <v>3.0599999999999999E-2</v>
      </c>
      <c r="Y15" s="181">
        <f>IFERROR(VLOOKUP($A15,[1]Morningstar!$A$2:$F$477,5,FALSE),"n/a")</f>
        <v>2.2700000000000001E-2</v>
      </c>
      <c r="Z15" s="35">
        <f>IFERROR(VLOOKUP($A15,[1]Morningstar!$A$2:$F$477,6,FALSE),"n/a")</f>
        <v>5.9700000000000003E-2</v>
      </c>
    </row>
    <row r="16" spans="1:26">
      <c r="A16" s="21" t="s">
        <v>512</v>
      </c>
      <c r="B16" s="174" t="s">
        <v>508</v>
      </c>
      <c r="C16" s="23" t="str">
        <f>VLOOKUP(A16,'[1]LIC List'!$A$2:$B$136,2,FALSE)</f>
        <v>Argo Investments Limited</v>
      </c>
      <c r="D16" s="175"/>
      <c r="E16" s="9"/>
      <c r="F16" s="176">
        <f>_xlfn.IFNA(VLOOKUP(A16,'[1]LIC List'!$A$2:$I$136,6,FALSE),"n/a")</f>
        <v>0.18</v>
      </c>
      <c r="G16" s="26" t="str">
        <f>_xlfn.IFNA(VLOOKUP(A16,'[1]LIC List'!$A$2:$J$112,10,FALSE),"n/a")</f>
        <v>No</v>
      </c>
      <c r="H16" s="176">
        <f>_xlfn.IFNA(VLOOKUP(A16,'[1]LIC List'!$A$2:$J$145,8,FALSE)/1000000,"n/a")</f>
        <v>5652.5516072600003</v>
      </c>
      <c r="I16" s="26">
        <f>_xlfn.IFNA(VLOOKUP(A16,'[1]LIC List'!$A$2:$N$136,14,FALSE)/1000000,"n/a")</f>
        <v>106.38428369999981</v>
      </c>
      <c r="J16" s="177">
        <f>_xlfn.IFNA(VLOOKUP(A16,[1]IRESS!$A$10:$F$875,5,FALSE),"n/a")</f>
        <v>40040367.974999994</v>
      </c>
      <c r="K16" s="28">
        <f>_xlfn.IFNA(VLOOKUP(A16,[1]IRESS!$A$11:$G$772,7,FALSE),"n/a")</f>
        <v>5040857</v>
      </c>
      <c r="L16" s="177">
        <f>_xlfn.IFNA(VLOOKUP(A16,[1]IRESS!$A$10:$F$875,4,FALSE),"n/a")</f>
        <v>4526</v>
      </c>
      <c r="M16" s="29">
        <f t="shared" si="0"/>
        <v>8.917843392222453E-4</v>
      </c>
      <c r="N16" s="104" t="e">
        <f>VLOOKUP(A16,[1]Spreads!$A$1:$G$87,7,FALSE)</f>
        <v>#N/A</v>
      </c>
      <c r="O16" s="178">
        <f>IFERROR(VLOOKUP(A16,'[1]LIC List'!$E$2:$R$112,14,FALSE),"n/a")</f>
        <v>-1.2626262626262652E-2</v>
      </c>
      <c r="P16" s="179">
        <f>IFERROR(VLOOKUP(A16,[1]NAV!$B$3:$F$310,5,FALSE),"n/a")</f>
        <v>43251</v>
      </c>
      <c r="Q16" s="9"/>
      <c r="R16" s="180">
        <f>_xlfn.IFNA(VLOOKUP($A16,[1]IRESS!$A$11:$AE$696,6,FALSE)/100,"n/a")</f>
        <v>7.97</v>
      </c>
      <c r="S16" s="32">
        <f>_xlfn.IFNA(VLOOKUP($A16,[1]IRESS!$A$11:$AE$696,21,FALSE)/100,"n/a")</f>
        <v>8.44</v>
      </c>
      <c r="T16" s="180">
        <f>_xlfn.IFNA(VLOOKUP($A16,[1]IRESS!$A$11:$AE$696,22,FALSE)/100,"n/a")</f>
        <v>7.7</v>
      </c>
      <c r="V16" s="35">
        <f>IFERROR((VLOOKUP($A16,[1]IRESS!$A$11:$AE$696,20,FALSE)/100)/R16,"n/a")</f>
        <v>3.9523212045169384E-2</v>
      </c>
      <c r="W16" s="181">
        <f>IFERROR(VLOOKUP($A16,[1]Morningstar!$A$2:$F$477,3,FALSE),"n/a")</f>
        <v>1.9199999999999998E-2</v>
      </c>
      <c r="X16" s="35">
        <f>IFERROR(VLOOKUP($A16,[1]Morningstar!$A$2:$F$477,4,FALSE),"n/a")</f>
        <v>8.0799999999999997E-2</v>
      </c>
      <c r="Y16" s="181">
        <f>IFERROR(VLOOKUP($A16,[1]Morningstar!$A$2:$F$477,5,FALSE),"n/a")</f>
        <v>4.0800000000000003E-2</v>
      </c>
      <c r="Z16" s="35">
        <f>IFERROR(VLOOKUP($A16,[1]Morningstar!$A$2:$F$477,6,FALSE),"n/a")</f>
        <v>8.4000000000000005E-2</v>
      </c>
    </row>
    <row r="17" spans="1:26">
      <c r="A17" s="21" t="s">
        <v>513</v>
      </c>
      <c r="B17" s="174" t="s">
        <v>508</v>
      </c>
      <c r="C17" s="23" t="str">
        <f>VLOOKUP(A17,'[1]LIC List'!$A$2:$B$136,2,FALSE)</f>
        <v>Australian United Investment Company Limited</v>
      </c>
      <c r="D17" s="175"/>
      <c r="E17" s="9"/>
      <c r="F17" s="176">
        <f>_xlfn.IFNA(VLOOKUP(A17,'[1]LIC List'!$A$2:$I$136,6,FALSE),"n/a")</f>
        <v>0.13</v>
      </c>
      <c r="G17" s="26" t="str">
        <f>_xlfn.IFNA(VLOOKUP(A17,'[1]LIC List'!$A$2:$J$112,10,FALSE),"n/a")</f>
        <v>No</v>
      </c>
      <c r="H17" s="176">
        <f>_xlfn.IFNA(VLOOKUP(A17,'[1]LIC List'!$A$2:$J$145,8,FALSE)/1000000,"n/a")</f>
        <v>1072.65597415</v>
      </c>
      <c r="I17" s="26">
        <f>_xlfn.IFNA(VLOOKUP(A17,'[1]LIC List'!$A$2:$N$136,14,FALSE)/1000000,"n/a")</f>
        <v>29.761553040000081</v>
      </c>
      <c r="J17" s="177">
        <f>_xlfn.IFNA(VLOOKUP(A17,[1]IRESS!$A$10:$F$875,5,FALSE),"n/a")</f>
        <v>1969963.4999999998</v>
      </c>
      <c r="K17" s="28">
        <f>_xlfn.IFNA(VLOOKUP(A17,[1]IRESS!$A$11:$G$772,7,FALSE),"n/a")</f>
        <v>232229</v>
      </c>
      <c r="L17" s="177">
        <f>_xlfn.IFNA(VLOOKUP(A17,[1]IRESS!$A$10:$F$875,4,FALSE),"n/a")</f>
        <v>231</v>
      </c>
      <c r="M17" s="29">
        <f t="shared" si="0"/>
        <v>2.1649905057772526E-4</v>
      </c>
      <c r="N17" s="104" t="e">
        <f>VLOOKUP(A17,[1]Spreads!$A$1:$G$87,7,FALSE)</f>
        <v>#N/A</v>
      </c>
      <c r="O17" s="178">
        <f>IFERROR(VLOOKUP(A17,'[1]LIC List'!$E$2:$R$112,14,FALSE),"n/a")</f>
        <v>-6.942889137737962E-2</v>
      </c>
      <c r="P17" s="179">
        <f>IFERROR(VLOOKUP(A17,[1]NAV!$B$3:$F$310,5,FALSE),"n/a")</f>
        <v>43251</v>
      </c>
      <c r="Q17" s="9"/>
      <c r="R17" s="180">
        <f>_xlfn.IFNA(VLOOKUP($A17,[1]IRESS!$A$11:$AE$696,6,FALSE)/100,"n/a")</f>
        <v>8.65</v>
      </c>
      <c r="S17" s="32">
        <f>_xlfn.IFNA(VLOOKUP($A17,[1]IRESS!$A$11:$AE$696,21,FALSE)/100,"n/a")</f>
        <v>9.08</v>
      </c>
      <c r="T17" s="180">
        <f>_xlfn.IFNA(VLOOKUP($A17,[1]IRESS!$A$11:$AE$696,22,FALSE)/100,"n/a")</f>
        <v>8.14</v>
      </c>
      <c r="V17" s="35">
        <f>IFERROR((VLOOKUP($A17,[1]IRESS!$A$11:$AE$696,20,FALSE)/100)/R17,"n/a")</f>
        <v>3.9884393063583809E-2</v>
      </c>
      <c r="W17" s="181">
        <f>IFERROR(VLOOKUP($A17,[1]Morningstar!$A$2:$F$477,3,FALSE),"n/a")</f>
        <v>4.0899999999999999E-2</v>
      </c>
      <c r="X17" s="35">
        <f>IFERROR(VLOOKUP($A17,[1]Morningstar!$A$2:$F$477,4,FALSE),"n/a")</f>
        <v>0.11360000000000001</v>
      </c>
      <c r="Y17" s="181">
        <f>IFERROR(VLOOKUP($A17,[1]Morningstar!$A$2:$F$477,5,FALSE),"n/a")</f>
        <v>7.0099999999999996E-2</v>
      </c>
      <c r="Z17" s="35">
        <f>IFERROR(VLOOKUP($A17,[1]Morningstar!$A$2:$F$477,6,FALSE),"n/a")</f>
        <v>9.6600000000000005E-2</v>
      </c>
    </row>
    <row r="18" spans="1:26">
      <c r="A18" s="21" t="s">
        <v>514</v>
      </c>
      <c r="B18" s="174" t="s">
        <v>508</v>
      </c>
      <c r="C18" s="46" t="str">
        <f>VLOOKUP(A18,'[1]LIC List'!$A$2:$B$136,2,FALSE)</f>
        <v>BKI Investment Company Limited</v>
      </c>
      <c r="D18" s="24"/>
      <c r="E18" s="9"/>
      <c r="F18" s="176">
        <f>_xlfn.IFNA(VLOOKUP(A18,'[1]LIC List'!$A$2:$I$136,6,FALSE),"n/a")</f>
        <v>0.19</v>
      </c>
      <c r="G18" s="26" t="str">
        <f>_xlfn.IFNA(VLOOKUP(A18,'[1]LIC List'!$A$2:$J$112,10,FALSE),"n/a")</f>
        <v>No</v>
      </c>
      <c r="H18" s="176">
        <f>_xlfn.IFNA(VLOOKUP(A18,'[1]LIC List'!$A$2:$J$145,8,FALSE)/1000000,"n/a")</f>
        <v>1106.0998880499999</v>
      </c>
      <c r="I18" s="26">
        <f>_xlfn.IFNA(VLOOKUP(A18,'[1]LIC List'!$A$2:$N$136,14,FALSE)/1000000,"n/a")</f>
        <v>166.36462772999991</v>
      </c>
      <c r="J18" s="177">
        <f>_xlfn.IFNA(VLOOKUP(A18,[1]IRESS!$A$10:$F$875,5,FALSE),"n/a")</f>
        <v>13829179.457500003</v>
      </c>
      <c r="K18" s="28">
        <f>_xlfn.IFNA(VLOOKUP(A18,[1]IRESS!$A$11:$G$772,7,FALSE),"n/a")</f>
        <v>9092514</v>
      </c>
      <c r="L18" s="177">
        <f>_xlfn.IFNA(VLOOKUP(A18,[1]IRESS!$A$10:$F$875,4,FALSE),"n/a")</f>
        <v>1033</v>
      </c>
      <c r="M18" s="29">
        <f t="shared" si="0"/>
        <v>8.220337148781072E-3</v>
      </c>
      <c r="N18" s="104" t="e">
        <f>VLOOKUP(A18,[1]Spreads!$A$1:$G$87,7,FALSE)</f>
        <v>#N/A</v>
      </c>
      <c r="O18" s="178">
        <f>IFERROR(VLOOKUP(A18,'[1]LIC List'!$E$2:$R$112,14,FALSE),"n/a")</f>
        <v>-5.3459119496855334E-2</v>
      </c>
      <c r="P18" s="179">
        <f>IFERROR(VLOOKUP(A18,[1]NAV!$B$3:$F$310,5,FALSE),"n/a")</f>
        <v>43251</v>
      </c>
      <c r="Q18" s="9"/>
      <c r="R18" s="180">
        <f>_xlfn.IFNA(VLOOKUP($A18,[1]IRESS!$A$11:$AE$696,6,FALSE)/100,"n/a")</f>
        <v>1.5249999999999999</v>
      </c>
      <c r="S18" s="32">
        <f>_xlfn.IFNA(VLOOKUP($A18,[1]IRESS!$A$11:$AE$696,21,FALSE)/100,"n/a")</f>
        <v>1.7728699639439582</v>
      </c>
      <c r="T18" s="180">
        <f>_xlfn.IFNA(VLOOKUP($A18,[1]IRESS!$A$11:$AE$696,22,FALSE)/100,"n/a")</f>
        <v>1.5</v>
      </c>
      <c r="V18" s="35">
        <f>IFERROR((VLOOKUP($A18,[1]IRESS!$A$11:$AE$696,20,FALSE)/100)/R18,"n/a")</f>
        <v>4.7975146565280978E-2</v>
      </c>
      <c r="W18" s="181">
        <f>IFERROR(VLOOKUP($A18,[1]Morningstar!$A$2:$F$477,3,FALSE),"n/a")</f>
        <v>6.4999999999999997E-3</v>
      </c>
      <c r="X18" s="35">
        <f>IFERROR(VLOOKUP($A18,[1]Morningstar!$A$2:$F$477,4,FALSE),"n/a")</f>
        <v>-1.5900000000000001E-2</v>
      </c>
      <c r="Y18" s="181">
        <f>IFERROR(VLOOKUP($A18,[1]Morningstar!$A$2:$F$477,5,FALSE),"n/a")</f>
        <v>1.55E-2</v>
      </c>
      <c r="Z18" s="35">
        <f>IFERROR(VLOOKUP($A18,[1]Morningstar!$A$2:$F$477,6,FALSE),"n/a")</f>
        <v>6.0199999999999997E-2</v>
      </c>
    </row>
    <row r="19" spans="1:26">
      <c r="A19" s="21" t="s">
        <v>515</v>
      </c>
      <c r="B19" s="174" t="s">
        <v>508</v>
      </c>
      <c r="C19" s="46" t="str">
        <f>VLOOKUP(A19,'[1]LIC List'!$A$2:$B$136,2,FALSE)</f>
        <v>Bisan Limited</v>
      </c>
      <c r="D19" s="24"/>
      <c r="E19" s="9"/>
      <c r="F19" s="176" t="str">
        <f>_xlfn.IFNA(VLOOKUP(A19,'[1]LIC List'!$A$2:$I$136,6,FALSE),"n/a")</f>
        <v>n/a</v>
      </c>
      <c r="G19" s="26" t="str">
        <f>_xlfn.IFNA(VLOOKUP(A19,'[1]LIC List'!$A$2:$J$112,10,FALSE),"n/a")</f>
        <v>No</v>
      </c>
      <c r="H19" s="176">
        <f>_xlfn.IFNA(VLOOKUP(A19,'[1]LIC List'!$A$2:$J$145,8,FALSE)/1000000,"n/a")</f>
        <v>0.519422465</v>
      </c>
      <c r="I19" s="26">
        <f>_xlfn.IFNA(VLOOKUP(A19,'[1]LIC List'!$A$2:$N$136,14,FALSE)/1000000,"n/a")</f>
        <v>0</v>
      </c>
      <c r="J19" s="177">
        <f>_xlfn.IFNA(VLOOKUP(A19,[1]IRESS!$A$10:$F$875,5,FALSE),"n/a")</f>
        <v>0</v>
      </c>
      <c r="K19" s="28">
        <f>_xlfn.IFNA(VLOOKUP(A19,[1]IRESS!$A$11:$G$772,7,FALSE),"n/a")</f>
        <v>0</v>
      </c>
      <c r="L19" s="177">
        <f>_xlfn.IFNA(VLOOKUP(A19,[1]IRESS!$A$10:$F$875,4,FALSE),"n/a")</f>
        <v>0</v>
      </c>
      <c r="M19" s="29">
        <f t="shared" si="0"/>
        <v>0</v>
      </c>
      <c r="N19" s="104" t="e">
        <f>VLOOKUP(A19,[1]Spreads!$A$1:$G$87,7,FALSE)</f>
        <v>#N/A</v>
      </c>
      <c r="O19" s="178" t="str">
        <f>IFERROR(VLOOKUP(A19,'[1]LIC List'!$E$2:$R$112,14,FALSE),"n/a")</f>
        <v>n/a</v>
      </c>
      <c r="P19" s="179">
        <f>IFERROR(VLOOKUP(A19,[1]NAV!$B$3:$F$310,5,FALSE),"n/a")</f>
        <v>43251</v>
      </c>
      <c r="Q19" s="9"/>
      <c r="R19" s="180">
        <f>_xlfn.IFNA(VLOOKUP($A19,[1]IRESS!$A$11:$AE$696,6,FALSE)/100,"n/a")</f>
        <v>5.0000000000000001E-3</v>
      </c>
      <c r="S19" s="32">
        <f>_xlfn.IFNA(VLOOKUP($A19,[1]IRESS!$A$11:$AE$696,21,FALSE)/100,"n/a")</f>
        <v>6.0000000000000001E-3</v>
      </c>
      <c r="T19" s="180">
        <f>_xlfn.IFNA(VLOOKUP($A19,[1]IRESS!$A$11:$AE$696,22,FALSE)/100,"n/a")</f>
        <v>4.0000000000000001E-3</v>
      </c>
      <c r="V19" s="35">
        <f>IFERROR((VLOOKUP($A19,[1]IRESS!$A$11:$AE$696,20,FALSE)/100)/R19,"n/a")</f>
        <v>0</v>
      </c>
      <c r="W19" s="181">
        <f>IFERROR(VLOOKUP($A19,[1]Morningstar!$A$2:$F$477,3,FALSE),"n/a")</f>
        <v>0</v>
      </c>
      <c r="X19" s="35">
        <f>IFERROR(VLOOKUP($A19,[1]Morningstar!$A$2:$F$477,4,FALSE),"n/a")</f>
        <v>-6.428387760349704E-3</v>
      </c>
      <c r="Y19" s="181">
        <f>IFERROR(VLOOKUP($A19,[1]Morningstar!$A$2:$F$477,5,FALSE),"n/a")</f>
        <v>6.0241037997019855E-3</v>
      </c>
      <c r="Z19" s="35">
        <f>IFERROR(VLOOKUP($A19,[1]Morningstar!$A$2:$F$477,6,FALSE),"n/a")</f>
        <v>2.147720821888144E-3</v>
      </c>
    </row>
    <row r="20" spans="1:26">
      <c r="A20" s="21" t="s">
        <v>516</v>
      </c>
      <c r="B20" s="174" t="s">
        <v>508</v>
      </c>
      <c r="C20" s="46" t="str">
        <f>VLOOKUP(A20,'[1]LIC List'!$A$2:$B$136,2,FALSE)</f>
        <v>Clime Capital Limited</v>
      </c>
      <c r="D20" s="24"/>
      <c r="E20" s="9"/>
      <c r="F20" s="176" t="str">
        <f>_xlfn.IFNA(VLOOKUP(A20,'[1]LIC List'!$A$2:$I$136,6,FALSE),"n/a")</f>
        <v>n/a</v>
      </c>
      <c r="G20" s="26" t="str">
        <f>_xlfn.IFNA(VLOOKUP(A20,'[1]LIC List'!$A$2:$J$112,10,FALSE),"n/a")</f>
        <v>n/a</v>
      </c>
      <c r="H20" s="176">
        <f>_xlfn.IFNA(VLOOKUP(A20,'[1]LIC List'!$A$2:$J$145,8,FALSE)/1000000,"n/a")</f>
        <v>77.667127754999996</v>
      </c>
      <c r="I20" s="26">
        <f>_xlfn.IFNA(VLOOKUP(A20,'[1]LIC List'!$A$2:$N$136,14,FALSE)/1000000,"n/a")</f>
        <v>1.6056467399999947</v>
      </c>
      <c r="J20" s="177">
        <f>_xlfn.IFNA(VLOOKUP(A20,[1]IRESS!$A$10:$F$875,5,FALSE),"n/a")</f>
        <v>1463956.1274999999</v>
      </c>
      <c r="K20" s="28">
        <f>_xlfn.IFNA(VLOOKUP(A20,[1]IRESS!$A$11:$G$772,7,FALSE),"n/a")</f>
        <v>1708613</v>
      </c>
      <c r="L20" s="177">
        <f>_xlfn.IFNA(VLOOKUP(A20,[1]IRESS!$A$10:$F$875,4,FALSE),"n/a")</f>
        <v>251</v>
      </c>
      <c r="M20" s="29">
        <f t="shared" si="0"/>
        <v>2.1999178409040681E-2</v>
      </c>
      <c r="N20" s="104" t="e">
        <f>VLOOKUP(A20,[1]Spreads!$A$1:$G$87,7,FALSE)</f>
        <v>#N/A</v>
      </c>
      <c r="O20" s="178">
        <f>IFERROR(VLOOKUP(A20,'[1]LIC List'!$E$2:$R$112,14,FALSE),"n/a")</f>
        <v>-0.10106382978723405</v>
      </c>
      <c r="P20" s="179">
        <f>IFERROR(VLOOKUP(A20,[1]NAV!$B$3:$F$310,5,FALSE),"n/a")</f>
        <v>43251</v>
      </c>
      <c r="Q20" s="9"/>
      <c r="R20" s="180">
        <f>_xlfn.IFNA(VLOOKUP($A20,[1]IRESS!$A$11:$AE$696,6,FALSE)/100,"n/a")</f>
        <v>0.86499999999999999</v>
      </c>
      <c r="S20" s="32">
        <f>_xlfn.IFNA(VLOOKUP($A20,[1]IRESS!$A$11:$AE$696,21,FALSE)/100,"n/a")</f>
        <v>0.91</v>
      </c>
      <c r="T20" s="180">
        <f>_xlfn.IFNA(VLOOKUP($A20,[1]IRESS!$A$11:$AE$696,22,FALSE)/100,"n/a")</f>
        <v>0.84</v>
      </c>
      <c r="V20" s="35">
        <f>IFERROR((VLOOKUP($A20,[1]IRESS!$A$11:$AE$696,20,FALSE)/100)/R20,"n/a")</f>
        <v>5.7803468208092491E-2</v>
      </c>
      <c r="W20" s="181">
        <f>IFERROR(VLOOKUP($A20,[1]Morningstar!$A$2:$F$477,3,FALSE),"n/a")</f>
        <v>1.7600000000000001E-2</v>
      </c>
      <c r="X20" s="35">
        <f>IFERROR(VLOOKUP($A20,[1]Morningstar!$A$2:$F$477,4,FALSE),"n/a")</f>
        <v>5.2600000000000001E-2</v>
      </c>
      <c r="Y20" s="181">
        <f>IFERROR(VLOOKUP($A20,[1]Morningstar!$A$2:$F$477,5,FALSE),"n/a")</f>
        <v>4.2299999999999997E-2</v>
      </c>
      <c r="Z20" s="35">
        <f>IFERROR(VLOOKUP($A20,[1]Morningstar!$A$2:$F$477,6,FALSE),"n/a")</f>
        <v>2.0799999999999999E-2</v>
      </c>
    </row>
    <row r="21" spans="1:26">
      <c r="A21" s="21" t="s">
        <v>517</v>
      </c>
      <c r="B21" s="174" t="s">
        <v>508</v>
      </c>
      <c r="C21" s="46" t="str">
        <f>VLOOKUP(A21,'[1]LIC List'!$A$2:$B$136,2,FALSE)</f>
        <v>CBG Capital Limited</v>
      </c>
      <c r="D21" s="24"/>
      <c r="E21" s="9"/>
      <c r="F21" s="176">
        <f>_xlfn.IFNA(VLOOKUP(A21,'[1]LIC List'!$A$2:$I$136,6,FALSE),"n/a")</f>
        <v>1</v>
      </c>
      <c r="G21" s="26" t="str">
        <f>_xlfn.IFNA(VLOOKUP(A21,'[1]LIC List'!$A$2:$J$112,10,FALSE),"n/a")</f>
        <v>Yes</v>
      </c>
      <c r="H21" s="176">
        <f>_xlfn.IFNA(VLOOKUP(A21,'[1]LIC List'!$A$2:$J$145,8,FALSE)/1000000,"n/a")</f>
        <v>23.246007575</v>
      </c>
      <c r="I21" s="26">
        <f>_xlfn.IFNA(VLOOKUP(A21,'[1]LIC List'!$A$2:$N$136,14,FALSE)/1000000,"n/a")</f>
        <v>0.1256540949999988</v>
      </c>
      <c r="J21" s="177">
        <f>_xlfn.IFNA(VLOOKUP(A21,[1]IRESS!$A$10:$F$875,5,FALSE),"n/a")</f>
        <v>245968.41999999998</v>
      </c>
      <c r="K21" s="28">
        <f>_xlfn.IFNA(VLOOKUP(A21,[1]IRESS!$A$11:$G$772,7,FALSE),"n/a")</f>
        <v>270071</v>
      </c>
      <c r="L21" s="177">
        <f>_xlfn.IFNA(VLOOKUP(A21,[1]IRESS!$A$10:$F$875,4,FALSE),"n/a")</f>
        <v>222</v>
      </c>
      <c r="M21" s="29">
        <f t="shared" si="0"/>
        <v>1.1617951991482994E-2</v>
      </c>
      <c r="N21" s="104" t="e">
        <f>VLOOKUP(A21,[1]Spreads!$A$1:$G$87,7,FALSE)</f>
        <v>#N/A</v>
      </c>
      <c r="O21" s="178">
        <f>IFERROR(VLOOKUP(A21,'[1]LIC List'!$E$2:$R$112,14,FALSE),"n/a")</f>
        <v>-0.11730657920123477</v>
      </c>
      <c r="P21" s="179">
        <f>IFERROR(VLOOKUP(A21,[1]NAV!$B$3:$F$310,5,FALSE),"n/a")</f>
        <v>43251</v>
      </c>
      <c r="Q21" s="9"/>
      <c r="R21" s="180">
        <f>_xlfn.IFNA(VLOOKUP($A21,[1]IRESS!$A$11:$AE$696,6,FALSE)/100,"n/a")</f>
        <v>0.92500000000000004</v>
      </c>
      <c r="S21" s="32">
        <f>_xlfn.IFNA(VLOOKUP($A21,[1]IRESS!$A$11:$AE$696,21,FALSE)/100,"n/a")</f>
        <v>0.93500000000000005</v>
      </c>
      <c r="T21" s="180">
        <f>_xlfn.IFNA(VLOOKUP($A21,[1]IRESS!$A$11:$AE$696,22,FALSE)/100,"n/a")</f>
        <v>0.85</v>
      </c>
      <c r="V21" s="35">
        <f>IFERROR((VLOOKUP($A21,[1]IRESS!$A$11:$AE$696,20,FALSE)/100)/R21,"n/a")</f>
        <v>3.2972972972972969E-2</v>
      </c>
      <c r="W21" s="181">
        <f>IFERROR(VLOOKUP($A21,[1]Morningstar!$A$2:$F$477,3,FALSE),"n/a")</f>
        <v>6.93E-2</v>
      </c>
      <c r="X21" s="35">
        <f>IFERROR(VLOOKUP($A21,[1]Morningstar!$A$2:$F$477,4,FALSE),"n/a")</f>
        <v>6.2799999999999995E-2</v>
      </c>
      <c r="Y21" s="181">
        <f>IFERROR(VLOOKUP($A21,[1]Morningstar!$A$2:$F$477,5,FALSE),"n/a")</f>
        <v>2.35E-2</v>
      </c>
      <c r="Z21" s="35" t="str">
        <f>IFERROR(VLOOKUP($A21,[1]Morningstar!$A$2:$F$477,6,FALSE),"n/a")</f>
        <v>n/a</v>
      </c>
    </row>
    <row r="22" spans="1:26">
      <c r="A22" s="21" t="s">
        <v>518</v>
      </c>
      <c r="B22" s="174" t="s">
        <v>508</v>
      </c>
      <c r="C22" s="46" t="str">
        <f>VLOOKUP(A22,'[1]LIC List'!$A$2:$B$136,2,FALSE)</f>
        <v>Cadence Capital Limited</v>
      </c>
      <c r="D22" s="24"/>
      <c r="E22" s="9"/>
      <c r="F22" s="176">
        <f>_xlfn.IFNA(VLOOKUP(A22,'[1]LIC List'!$A$2:$I$136,6,FALSE),"n/a")</f>
        <v>1</v>
      </c>
      <c r="G22" s="26" t="str">
        <f>_xlfn.IFNA(VLOOKUP(A22,'[1]LIC List'!$A$2:$J$112,10,FALSE),"n/a")</f>
        <v>Yes</v>
      </c>
      <c r="H22" s="176">
        <f>_xlfn.IFNA(VLOOKUP(A22,'[1]LIC List'!$A$2:$J$145,8,FALSE)/1000000,"n/a")</f>
        <v>397.44705499999998</v>
      </c>
      <c r="I22" s="26">
        <f>_xlfn.IFNA(VLOOKUP(A22,'[1]LIC List'!$A$2:$N$136,14,FALSE)/1000000,"n/a")</f>
        <v>-7.9489410999999643</v>
      </c>
      <c r="J22" s="177">
        <f>_xlfn.IFNA(VLOOKUP(A22,[1]IRESS!$A$10:$F$875,5,FALSE),"n/a")</f>
        <v>7886958.6050000004</v>
      </c>
      <c r="K22" s="28">
        <f>_xlfn.IFNA(VLOOKUP(A22,[1]IRESS!$A$11:$G$772,7,FALSE),"n/a")</f>
        <v>6286921</v>
      </c>
      <c r="L22" s="177">
        <f>_xlfn.IFNA(VLOOKUP(A22,[1]IRESS!$A$10:$F$875,4,FALSE),"n/a")</f>
        <v>1302</v>
      </c>
      <c r="M22" s="29">
        <f t="shared" si="0"/>
        <v>1.581826037181229E-2</v>
      </c>
      <c r="N22" s="104" t="e">
        <f>VLOOKUP(A22,[1]Spreads!$A$1:$G$87,7,FALSE)</f>
        <v>#N/A</v>
      </c>
      <c r="O22" s="178">
        <f>IFERROR(VLOOKUP(A22,'[1]LIC List'!$E$2:$R$112,14,FALSE),"n/a")</f>
        <v>3.2388663967611198E-2</v>
      </c>
      <c r="P22" s="179">
        <f>IFERROR(VLOOKUP(A22,[1]NAV!$B$3:$F$310,5,FALSE),"n/a")</f>
        <v>43251</v>
      </c>
      <c r="Q22" s="9"/>
      <c r="R22" s="180">
        <f>_xlfn.IFNA(VLOOKUP($A22,[1]IRESS!$A$11:$AE$696,6,FALSE)/100,"n/a")</f>
        <v>1.25</v>
      </c>
      <c r="S22" s="32">
        <f>_xlfn.IFNA(VLOOKUP($A22,[1]IRESS!$A$11:$AE$696,21,FALSE)/100,"n/a")</f>
        <v>1.375</v>
      </c>
      <c r="T22" s="180">
        <f>_xlfn.IFNA(VLOOKUP($A22,[1]IRESS!$A$11:$AE$696,22,FALSE)/100,"n/a")</f>
        <v>1.23</v>
      </c>
      <c r="V22" s="35">
        <f>IFERROR((VLOOKUP($A22,[1]IRESS!$A$11:$AE$696,20,FALSE)/100)/R22,"n/a")</f>
        <v>6.4000000000000001E-2</v>
      </c>
      <c r="W22" s="181">
        <f>IFERROR(VLOOKUP($A22,[1]Morningstar!$A$2:$F$477,3,FALSE),"n/a")</f>
        <v>-1.9599999999999999E-2</v>
      </c>
      <c r="X22" s="35">
        <f>IFERROR(VLOOKUP($A22,[1]Morningstar!$A$2:$F$477,4,FALSE),"n/a")</f>
        <v>7.5800000000000006E-2</v>
      </c>
      <c r="Y22" s="181">
        <f>IFERROR(VLOOKUP($A22,[1]Morningstar!$A$2:$F$477,5,FALSE),"n/a")</f>
        <v>3.56E-2</v>
      </c>
      <c r="Z22" s="35">
        <f>IFERROR(VLOOKUP($A22,[1]Morningstar!$A$2:$F$477,6,FALSE),"n/a")</f>
        <v>6.88E-2</v>
      </c>
    </row>
    <row r="23" spans="1:26">
      <c r="A23" s="21" t="s">
        <v>519</v>
      </c>
      <c r="B23" s="174" t="s">
        <v>508</v>
      </c>
      <c r="C23" s="46" t="str">
        <f>VLOOKUP(A23,'[1]LIC List'!$A$2:$B$136,2,FALSE)</f>
        <v>Contango Income Generator  Limited</v>
      </c>
      <c r="D23" s="24"/>
      <c r="E23" s="9"/>
      <c r="F23" s="176">
        <f>_xlfn.IFNA(VLOOKUP(A23,'[1]LIC List'!$A$2:$I$136,6,FALSE),"n/a")</f>
        <v>0.95</v>
      </c>
      <c r="G23" s="26" t="str">
        <f>_xlfn.IFNA(VLOOKUP(A23,'[1]LIC List'!$A$2:$J$112,10,FALSE),"n/a")</f>
        <v>No</v>
      </c>
      <c r="H23" s="176">
        <f>_xlfn.IFNA(VLOOKUP(A23,'[1]LIC List'!$A$2:$J$145,8,FALSE)/1000000,"n/a")</f>
        <v>97.495412559999991</v>
      </c>
      <c r="I23" s="26">
        <f>_xlfn.IFNA(VLOOKUP(A23,'[1]LIC List'!$A$2:$N$136,14,FALSE)/1000000,"n/a")</f>
        <v>-1.5557778600000143</v>
      </c>
      <c r="J23" s="177">
        <f>_xlfn.IFNA(VLOOKUP(A23,[1]IRESS!$A$10:$F$875,5,FALSE),"n/a")</f>
        <v>1872377.6150000002</v>
      </c>
      <c r="K23" s="28">
        <f>_xlfn.IFNA(VLOOKUP(A23,[1]IRESS!$A$11:$G$772,7,FALSE),"n/a")</f>
        <v>1988352</v>
      </c>
      <c r="L23" s="177">
        <f>_xlfn.IFNA(VLOOKUP(A23,[1]IRESS!$A$10:$F$875,4,FALSE),"n/a")</f>
        <v>254</v>
      </c>
      <c r="M23" s="29">
        <f t="shared" si="0"/>
        <v>2.0394313412196101E-2</v>
      </c>
      <c r="N23" s="104" t="e">
        <f>VLOOKUP(A23,[1]Spreads!$A$1:$G$87,7,FALSE)</f>
        <v>#N/A</v>
      </c>
      <c r="O23" s="178">
        <f>IFERROR(VLOOKUP(A23,'[1]LIC List'!$E$2:$R$112,14,FALSE),"n/a")</f>
        <v>-2.4640657084188833E-2</v>
      </c>
      <c r="P23" s="179">
        <f>IFERROR(VLOOKUP(A23,[1]NAV!$B$3:$F$310,5,FALSE),"n/a")</f>
        <v>43251</v>
      </c>
      <c r="Q23" s="9"/>
      <c r="R23" s="180">
        <f>_xlfn.IFNA(VLOOKUP($A23,[1]IRESS!$A$11:$AE$696,6,FALSE)/100,"n/a")</f>
        <v>0.94</v>
      </c>
      <c r="S23" s="32">
        <f>_xlfn.IFNA(VLOOKUP($A23,[1]IRESS!$A$11:$AE$696,21,FALSE)/100,"n/a")</f>
        <v>1.01</v>
      </c>
      <c r="T23" s="180">
        <f>_xlfn.IFNA(VLOOKUP($A23,[1]IRESS!$A$11:$AE$696,22,FALSE)/100,"n/a")</f>
        <v>0.92</v>
      </c>
      <c r="V23" s="35">
        <f>IFERROR((VLOOKUP($A23,[1]IRESS!$A$11:$AE$696,20,FALSE)/100)/R23,"n/a")</f>
        <v>8.8297872340425521E-2</v>
      </c>
      <c r="W23" s="181">
        <f>IFERROR(VLOOKUP($A23,[1]Morningstar!$A$2:$F$477,3,FALSE),"n/a")</f>
        <v>-4.1999999999999997E-3</v>
      </c>
      <c r="X23" s="35">
        <f>IFERROR(VLOOKUP($A23,[1]Morningstar!$A$2:$F$477,4,FALSE),"n/a")</f>
        <v>6.0199999999999997E-2</v>
      </c>
      <c r="Y23" s="181" t="str">
        <f>IFERROR(VLOOKUP($A23,[1]Morningstar!$A$2:$F$477,5,FALSE),"n/a")</f>
        <v>n/a</v>
      </c>
      <c r="Z23" s="35" t="str">
        <f>IFERROR(VLOOKUP($A23,[1]Morningstar!$A$2:$F$477,6,FALSE),"n/a")</f>
        <v>n/a</v>
      </c>
    </row>
    <row r="24" spans="1:26">
      <c r="A24" s="21" t="s">
        <v>520</v>
      </c>
      <c r="B24" s="174" t="s">
        <v>508</v>
      </c>
      <c r="C24" s="46" t="str">
        <f>VLOOKUP(A24,'[1]LIC List'!$A$2:$B$136,2,FALSE)</f>
        <v>Carlton Investments Limited</v>
      </c>
      <c r="D24" s="24"/>
      <c r="E24" s="9"/>
      <c r="F24" s="176">
        <f>_xlfn.IFNA(VLOOKUP(A24,'[1]LIC List'!$A$2:$I$136,6,FALSE),"n/a")</f>
        <v>0.1</v>
      </c>
      <c r="G24" s="26" t="str">
        <f>_xlfn.IFNA(VLOOKUP(A24,'[1]LIC List'!$A$2:$J$112,10,FALSE),"n/a")</f>
        <v>No</v>
      </c>
      <c r="H24" s="176">
        <f>_xlfn.IFNA(VLOOKUP(A24,'[1]LIC List'!$A$2:$J$145,8,FALSE)/1000000,"n/a")</f>
        <v>875.78224899999998</v>
      </c>
      <c r="I24" s="26">
        <f>_xlfn.IFNA(VLOOKUP(A24,'[1]LIC List'!$A$2:$N$136,14,FALSE)/1000000,"n/a")</f>
        <v>18.002779</v>
      </c>
      <c r="J24" s="177">
        <f>_xlfn.IFNA(VLOOKUP(A24,[1]IRESS!$A$10:$F$875,5,FALSE),"n/a")</f>
        <v>1411078.6</v>
      </c>
      <c r="K24" s="28">
        <f>_xlfn.IFNA(VLOOKUP(A24,[1]IRESS!$A$11:$G$772,7,FALSE),"n/a")</f>
        <v>43002</v>
      </c>
      <c r="L24" s="177">
        <f>_xlfn.IFNA(VLOOKUP(A24,[1]IRESS!$A$10:$F$875,4,FALSE),"n/a")</f>
        <v>136</v>
      </c>
      <c r="M24" s="29">
        <f t="shared" si="0"/>
        <v>4.9101246398977884E-5</v>
      </c>
      <c r="N24" s="104" t="e">
        <f>VLOOKUP(A24,[1]Spreads!$A$1:$G$87,7,FALSE)</f>
        <v>#N/A</v>
      </c>
      <c r="O24" s="178">
        <f>IFERROR(VLOOKUP(A24,'[1]LIC List'!$E$2:$R$112,14,FALSE),"n/a")</f>
        <v>-0.13461538461538458</v>
      </c>
      <c r="P24" s="179">
        <f>IFERROR(VLOOKUP(A24,[1]NAV!$B$3:$F$310,5,FALSE),"n/a")</f>
        <v>43251</v>
      </c>
      <c r="Q24" s="9"/>
      <c r="R24" s="180">
        <f>_xlfn.IFNA(VLOOKUP($A24,[1]IRESS!$A$11:$AE$696,6,FALSE)/100,"n/a")</f>
        <v>33.08</v>
      </c>
      <c r="S24" s="32">
        <f>_xlfn.IFNA(VLOOKUP($A24,[1]IRESS!$A$11:$AE$696,21,FALSE)/100,"n/a")</f>
        <v>34.94</v>
      </c>
      <c r="T24" s="180">
        <f>_xlfn.IFNA(VLOOKUP($A24,[1]IRESS!$A$11:$AE$696,22,FALSE)/100,"n/a")</f>
        <v>30.51</v>
      </c>
      <c r="V24" s="35">
        <f>IFERROR((VLOOKUP($A24,[1]IRESS!$A$11:$AE$696,20,FALSE)/100)/R24,"n/a")</f>
        <v>3.5973397823458285E-2</v>
      </c>
      <c r="W24" s="181">
        <f>IFERROR(VLOOKUP($A24,[1]Morningstar!$A$2:$F$477,3,FALSE),"n/a")</f>
        <v>1.7899999999999999E-2</v>
      </c>
      <c r="X24" s="35">
        <f>IFERROR(VLOOKUP($A24,[1]Morningstar!$A$2:$F$477,4,FALSE),"n/a")</f>
        <v>8.9399999999999993E-2</v>
      </c>
      <c r="Y24" s="181">
        <f>IFERROR(VLOOKUP($A24,[1]Morningstar!$A$2:$F$477,5,FALSE),"n/a")</f>
        <v>5.2600000000000001E-2</v>
      </c>
      <c r="Z24" s="35">
        <f>IFERROR(VLOOKUP($A24,[1]Morningstar!$A$2:$F$477,6,FALSE),"n/a")</f>
        <v>0.13500000000000001</v>
      </c>
    </row>
    <row r="25" spans="1:26">
      <c r="A25" s="21" t="s">
        <v>521</v>
      </c>
      <c r="B25" s="174" t="s">
        <v>508</v>
      </c>
      <c r="C25" s="46" t="str">
        <f>VLOOKUP(A25,'[1]LIC List'!$A$2:$B$136,2,FALSE)</f>
        <v>Contrarian Value Fund Limited</v>
      </c>
      <c r="D25" s="24"/>
      <c r="E25" s="9"/>
      <c r="F25" s="176">
        <f>_xlfn.IFNA(VLOOKUP(A25,'[1]LIC List'!$A$2:$I$136,6,FALSE),"n/a")</f>
        <v>1</v>
      </c>
      <c r="G25" s="26" t="str">
        <f>_xlfn.IFNA(VLOOKUP(A25,'[1]LIC List'!$A$2:$J$112,10,FALSE),"n/a")</f>
        <v>Yes</v>
      </c>
      <c r="H25" s="176">
        <f>_xlfn.IFNA(VLOOKUP(A25,'[1]LIC List'!$A$2:$J$145,8,FALSE)/1000000,"n/a")</f>
        <v>82.213126379999991</v>
      </c>
      <c r="I25" s="26">
        <f>_xlfn.IFNA(VLOOKUP(A25,'[1]LIC List'!$A$2:$N$136,14,FALSE)/1000000,"n/a")</f>
        <v>6.2704926899999824</v>
      </c>
      <c r="J25" s="177">
        <f>_xlfn.IFNA(VLOOKUP(A25,[1]IRESS!$A$10:$F$875,5,FALSE),"n/a")</f>
        <v>1550847.46</v>
      </c>
      <c r="K25" s="28">
        <f>_xlfn.IFNA(VLOOKUP(A25,[1]IRESS!$A$11:$G$772,7,FALSE),"n/a")</f>
        <v>1363039</v>
      </c>
      <c r="L25" s="177">
        <f>_xlfn.IFNA(VLOOKUP(A25,[1]IRESS!$A$10:$F$875,4,FALSE),"n/a")</f>
        <v>140</v>
      </c>
      <c r="M25" s="29">
        <f t="shared" si="0"/>
        <v>1.6579335442126999E-2</v>
      </c>
      <c r="N25" s="104" t="e">
        <f>VLOOKUP(A25,[1]Spreads!$A$1:$G$87,7,FALSE)</f>
        <v>#N/A</v>
      </c>
      <c r="O25" s="178">
        <f>IFERROR(VLOOKUP(A25,'[1]LIC List'!$E$2:$R$112,14,FALSE),"n/a")</f>
        <v>-0.16153846153846141</v>
      </c>
      <c r="P25" s="179">
        <f>IFERROR(VLOOKUP(A25,[1]NAV!$B$3:$F$310,5,FALSE),"n/a")</f>
        <v>43251</v>
      </c>
      <c r="Q25" s="9"/>
      <c r="R25" s="180">
        <f>_xlfn.IFNA(VLOOKUP($A25,[1]IRESS!$A$11:$AE$696,6,FALSE)/100,"n/a")</f>
        <v>1.18</v>
      </c>
      <c r="S25" s="32">
        <f>_xlfn.IFNA(VLOOKUP($A25,[1]IRESS!$A$11:$AE$696,21,FALSE)/100,"n/a")</f>
        <v>1.2050000000000001</v>
      </c>
      <c r="T25" s="180">
        <f>_xlfn.IFNA(VLOOKUP($A25,[1]IRESS!$A$11:$AE$696,22,FALSE)/100,"n/a")</f>
        <v>0.88</v>
      </c>
      <c r="V25" s="35">
        <f>IFERROR((VLOOKUP($A25,[1]IRESS!$A$11:$AE$696,20,FALSE)/100)/R25,"n/a")</f>
        <v>6.3559322033898302E-2</v>
      </c>
      <c r="W25" s="181">
        <f>IFERROR(VLOOKUP($A25,[1]Morningstar!$A$2:$F$477,3,FALSE),"n/a")</f>
        <v>7.2599999999999998E-2</v>
      </c>
      <c r="X25" s="35">
        <f>IFERROR(VLOOKUP($A25,[1]Morningstar!$A$2:$F$477,4,FALSE),"n/a")</f>
        <v>0.4042</v>
      </c>
      <c r="Y25" s="181">
        <f>IFERROR(VLOOKUP($A25,[1]Morningstar!$A$2:$F$477,5,FALSE),"n/a")</f>
        <v>0.1071</v>
      </c>
      <c r="Z25" s="35" t="str">
        <f>IFERROR(VLOOKUP($A25,[1]Morningstar!$A$2:$F$477,6,FALSE),"n/a")</f>
        <v>n/a</v>
      </c>
    </row>
    <row r="26" spans="1:26">
      <c r="A26" s="21" t="s">
        <v>522</v>
      </c>
      <c r="B26" s="174" t="s">
        <v>508</v>
      </c>
      <c r="C26" s="46" t="str">
        <f>VLOOKUP(A26,'[1]LIC List'!$A$2:$B$136,2,FALSE)</f>
        <v>Century Australia Investments Limited</v>
      </c>
      <c r="D26" s="24"/>
      <c r="E26" s="9"/>
      <c r="F26" s="176">
        <f>_xlfn.IFNA(VLOOKUP(A26,'[1]LIC List'!$A$2:$I$136,6,FALSE),"n/a")</f>
        <v>1.08</v>
      </c>
      <c r="G26" s="26" t="str">
        <f>_xlfn.IFNA(VLOOKUP(A26,'[1]LIC List'!$A$2:$J$112,10,FALSE),"n/a")</f>
        <v>No</v>
      </c>
      <c r="H26" s="176">
        <f>_xlfn.IFNA(VLOOKUP(A26,'[1]LIC List'!$A$2:$J$145,8,FALSE)/1000000,"n/a")</f>
        <v>90.498038399999984</v>
      </c>
      <c r="I26" s="26">
        <f>_xlfn.IFNA(VLOOKUP(A26,'[1]LIC List'!$A$2:$N$136,14,FALSE)/1000000,"n/a")</f>
        <v>1.8853757999999969</v>
      </c>
      <c r="J26" s="177">
        <f>_xlfn.IFNA(VLOOKUP(A26,[1]IRESS!$A$10:$F$875,5,FALSE),"n/a")</f>
        <v>1532148.125</v>
      </c>
      <c r="K26" s="28">
        <f>_xlfn.IFNA(VLOOKUP(A26,[1]IRESS!$A$11:$G$772,7,FALSE),"n/a")</f>
        <v>1634651</v>
      </c>
      <c r="L26" s="177">
        <f>_xlfn.IFNA(VLOOKUP(A26,[1]IRESS!$A$10:$F$875,4,FALSE),"n/a")</f>
        <v>191</v>
      </c>
      <c r="M26" s="29">
        <f t="shared" si="0"/>
        <v>1.8062833503361329E-2</v>
      </c>
      <c r="N26" s="104" t="e">
        <f>VLOOKUP(A26,[1]Spreads!$A$1:$G$87,7,FALSE)</f>
        <v>#N/A</v>
      </c>
      <c r="O26" s="178">
        <f>IFERROR(VLOOKUP(A26,'[1]LIC List'!$E$2:$R$112,14,FALSE),"n/a")</f>
        <v>-7.4257425742574212E-2</v>
      </c>
      <c r="P26" s="179">
        <f>IFERROR(VLOOKUP(A26,[1]NAV!$B$3:$F$310,5,FALSE),"n/a")</f>
        <v>43251</v>
      </c>
      <c r="Q26" s="9"/>
      <c r="R26" s="180">
        <f>_xlfn.IFNA(VLOOKUP($A26,[1]IRESS!$A$11:$AE$696,6,FALSE)/100,"n/a")</f>
        <v>0.96</v>
      </c>
      <c r="S26" s="32">
        <f>_xlfn.IFNA(VLOOKUP($A26,[1]IRESS!$A$11:$AE$696,21,FALSE)/100,"n/a")</f>
        <v>0.995</v>
      </c>
      <c r="T26" s="180">
        <f>_xlfn.IFNA(VLOOKUP($A26,[1]IRESS!$A$11:$AE$696,22,FALSE)/100,"n/a")</f>
        <v>0.9</v>
      </c>
      <c r="V26" s="35">
        <f>IFERROR((VLOOKUP($A26,[1]IRESS!$A$11:$AE$696,20,FALSE)/100)/R26,"n/a")</f>
        <v>2.1770833333333333E-2</v>
      </c>
      <c r="W26" s="181">
        <f>IFERROR(VLOOKUP($A26,[1]Morningstar!$A$2:$F$477,3,FALSE),"n/a")</f>
        <v>2.6800000000000001E-2</v>
      </c>
      <c r="X26" s="35">
        <f>IFERROR(VLOOKUP($A26,[1]Morningstar!$A$2:$F$477,4,FALSE),"n/a")</f>
        <v>5.4800000000000001E-2</v>
      </c>
      <c r="Y26" s="181">
        <f>IFERROR(VLOOKUP($A26,[1]Morningstar!$A$2:$F$477,5,FALSE),"n/a")</f>
        <v>7.7499999999999999E-2</v>
      </c>
      <c r="Z26" s="35">
        <f>IFERROR(VLOOKUP($A26,[1]Morningstar!$A$2:$F$477,6,FALSE),"n/a")</f>
        <v>9.69E-2</v>
      </c>
    </row>
    <row r="27" spans="1:26">
      <c r="A27" s="21" t="s">
        <v>523</v>
      </c>
      <c r="B27" s="174" t="s">
        <v>508</v>
      </c>
      <c r="C27" s="46" t="str">
        <f>VLOOKUP(A27,'[1]LIC List'!$A$2:$B$136,2,FALSE)</f>
        <v>Djerriwarrh Investments Limited</v>
      </c>
      <c r="D27" s="24"/>
      <c r="E27" s="9"/>
      <c r="F27" s="176">
        <f>_xlfn.IFNA(VLOOKUP(A27,'[1]LIC List'!$A$2:$I$136,6,FALSE),"n/a")</f>
        <v>0.39</v>
      </c>
      <c r="G27" s="26" t="str">
        <f>_xlfn.IFNA(VLOOKUP(A27,'[1]LIC List'!$A$2:$J$112,10,FALSE),"n/a")</f>
        <v>No</v>
      </c>
      <c r="H27" s="176">
        <f>_xlfn.IFNA(VLOOKUP(A27,'[1]LIC List'!$A$2:$J$145,8,FALSE)/1000000,"n/a")</f>
        <v>746.80618349999997</v>
      </c>
      <c r="I27" s="26">
        <f>_xlfn.IFNA(VLOOKUP(A27,'[1]LIC List'!$A$2:$N$136,14,FALSE)/1000000,"n/a")</f>
        <v>-13.256914500000001</v>
      </c>
      <c r="J27" s="177">
        <f>_xlfn.IFNA(VLOOKUP(A27,[1]IRESS!$A$10:$F$875,5,FALSE),"n/a")</f>
        <v>10803562.495000001</v>
      </c>
      <c r="K27" s="28">
        <f>_xlfn.IFNA(VLOOKUP(A27,[1]IRESS!$A$11:$G$772,7,FALSE),"n/a")</f>
        <v>3189759</v>
      </c>
      <c r="L27" s="177">
        <f>_xlfn.IFNA(VLOOKUP(A27,[1]IRESS!$A$10:$F$875,4,FALSE),"n/a")</f>
        <v>1283</v>
      </c>
      <c r="M27" s="29">
        <f t="shared" si="0"/>
        <v>4.2712005744928328E-3</v>
      </c>
      <c r="N27" s="104" t="e">
        <f>VLOOKUP(A27,[1]Spreads!$A$1:$G$87,7,FALSE)</f>
        <v>#N/A</v>
      </c>
      <c r="O27" s="178">
        <f>IFERROR(VLOOKUP(A27,'[1]LIC List'!$E$2:$R$112,14,FALSE),"n/a")</f>
        <v>5.8823529411764719E-2</v>
      </c>
      <c r="P27" s="179">
        <f>IFERROR(VLOOKUP(A27,[1]NAV!$B$3:$F$310,5,FALSE),"n/a")</f>
        <v>43251</v>
      </c>
      <c r="Q27" s="9"/>
      <c r="R27" s="180">
        <f>_xlfn.IFNA(VLOOKUP($A27,[1]IRESS!$A$11:$AE$696,6,FALSE)/100,"n/a")</f>
        <v>3.38</v>
      </c>
      <c r="S27" s="32">
        <f>_xlfn.IFNA(VLOOKUP($A27,[1]IRESS!$A$11:$AE$696,21,FALSE)/100,"n/a")</f>
        <v>3.87</v>
      </c>
      <c r="T27" s="180">
        <f>_xlfn.IFNA(VLOOKUP($A27,[1]IRESS!$A$11:$AE$696,22,FALSE)/100,"n/a")</f>
        <v>3.15</v>
      </c>
      <c r="V27" s="35">
        <f>IFERROR((VLOOKUP($A27,[1]IRESS!$A$11:$AE$696,20,FALSE)/100)/R27,"n/a")</f>
        <v>5.9171597633136098E-2</v>
      </c>
      <c r="W27" s="181">
        <f>IFERROR(VLOOKUP($A27,[1]Morningstar!$A$2:$F$477,3,FALSE),"n/a")</f>
        <v>-2.8799999999999999E-2</v>
      </c>
      <c r="X27" s="35">
        <f>IFERROR(VLOOKUP($A27,[1]Morningstar!$A$2:$F$477,4,FALSE),"n/a")</f>
        <v>-2.8400000000000002E-2</v>
      </c>
      <c r="Y27" s="181">
        <f>IFERROR(VLOOKUP($A27,[1]Morningstar!$A$2:$F$477,5,FALSE),"n/a")</f>
        <v>-4.8000000000000001E-2</v>
      </c>
      <c r="Z27" s="35">
        <f>IFERROR(VLOOKUP($A27,[1]Morningstar!$A$2:$F$477,6,FALSE),"n/a")</f>
        <v>1.2800000000000001E-2</v>
      </c>
    </row>
    <row r="28" spans="1:26">
      <c r="A28" s="21" t="s">
        <v>524</v>
      </c>
      <c r="B28" s="174" t="s">
        <v>508</v>
      </c>
      <c r="C28" s="46" t="str">
        <f>VLOOKUP(A28,'[1]LIC List'!$A$2:$B$136,2,FALSE)</f>
        <v>Diversified United Investment Limited</v>
      </c>
      <c r="D28" s="24"/>
      <c r="E28" s="9"/>
      <c r="F28" s="176">
        <f>_xlfn.IFNA(VLOOKUP(A28,'[1]LIC List'!$A$2:$I$136,6,FALSE),"n/a")</f>
        <v>0.17</v>
      </c>
      <c r="G28" s="26" t="str">
        <f>_xlfn.IFNA(VLOOKUP(A28,'[1]LIC List'!$A$2:$J$112,10,FALSE),"n/a")</f>
        <v>No</v>
      </c>
      <c r="H28" s="176">
        <f>_xlfn.IFNA(VLOOKUP(A28,'[1]LIC List'!$A$2:$J$145,8,FALSE)/1000000,"n/a")</f>
        <v>860.35040829999991</v>
      </c>
      <c r="I28" s="26">
        <f>_xlfn.IFNA(VLOOKUP(A28,'[1]LIC List'!$A$2:$N$136,14,FALSE)/1000000,"n/a")</f>
        <v>14.688909409999848</v>
      </c>
      <c r="J28" s="177">
        <f>_xlfn.IFNA(VLOOKUP(A28,[1]IRESS!$A$10:$F$875,5,FALSE),"n/a")</f>
        <v>5780951.0750000002</v>
      </c>
      <c r="K28" s="28">
        <f>_xlfn.IFNA(VLOOKUP(A28,[1]IRESS!$A$11:$G$772,7,FALSE),"n/a")</f>
        <v>1417491</v>
      </c>
      <c r="L28" s="177">
        <f>_xlfn.IFNA(VLOOKUP(A28,[1]IRESS!$A$10:$F$875,4,FALSE),"n/a")</f>
        <v>366</v>
      </c>
      <c r="M28" s="29">
        <f t="shared" si="0"/>
        <v>1.647574042303154E-3</v>
      </c>
      <c r="N28" s="104" t="e">
        <f>VLOOKUP(A28,[1]Spreads!$A$1:$G$87,7,FALSE)</f>
        <v>#N/A</v>
      </c>
      <c r="O28" s="178">
        <f>IFERROR(VLOOKUP(A28,'[1]LIC List'!$E$2:$R$112,14,FALSE),"n/a")</f>
        <v>-6.2645011600927947E-2</v>
      </c>
      <c r="P28" s="179">
        <f>IFERROR(VLOOKUP(A28,[1]NAV!$B$3:$F$310,5,FALSE),"n/a")</f>
        <v>43251</v>
      </c>
      <c r="Q28" s="9"/>
      <c r="R28" s="180">
        <f>_xlfn.IFNA(VLOOKUP($A28,[1]IRESS!$A$11:$AE$696,6,FALSE)/100,"n/a")</f>
        <v>4.0999999999999996</v>
      </c>
      <c r="S28" s="32">
        <f>_xlfn.IFNA(VLOOKUP($A28,[1]IRESS!$A$11:$AE$696,21,FALSE)/100,"n/a")</f>
        <v>4.2</v>
      </c>
      <c r="T28" s="180">
        <f>_xlfn.IFNA(VLOOKUP($A28,[1]IRESS!$A$11:$AE$696,22,FALSE)/100,"n/a")</f>
        <v>3.66</v>
      </c>
      <c r="V28" s="35">
        <f>IFERROR((VLOOKUP($A28,[1]IRESS!$A$11:$AE$696,20,FALSE)/100)/R28,"n/a")</f>
        <v>3.5365853658536589E-2</v>
      </c>
      <c r="W28" s="181">
        <f>IFERROR(VLOOKUP($A28,[1]Morningstar!$A$2:$F$477,3,FALSE),"n/a")</f>
        <v>1.49E-2</v>
      </c>
      <c r="X28" s="35">
        <f>IFERROR(VLOOKUP($A28,[1]Morningstar!$A$2:$F$477,4,FALSE),"n/a")</f>
        <v>0.14369999999999999</v>
      </c>
      <c r="Y28" s="181">
        <f>IFERROR(VLOOKUP($A28,[1]Morningstar!$A$2:$F$477,5,FALSE),"n/a")</f>
        <v>9.64E-2</v>
      </c>
      <c r="Z28" s="35">
        <f>IFERROR(VLOOKUP($A28,[1]Morningstar!$A$2:$F$477,6,FALSE),"n/a")</f>
        <v>0.1105</v>
      </c>
    </row>
    <row r="29" spans="1:26">
      <c r="A29" s="21" t="s">
        <v>525</v>
      </c>
      <c r="B29" s="174" t="s">
        <v>508</v>
      </c>
      <c r="C29" s="46" t="str">
        <f>VLOOKUP(A29,'[1]LIC List'!$A$2:$B$136,2,FALSE)</f>
        <v>Evans &amp; Partners Australian Flagship Fund</v>
      </c>
      <c r="D29" s="24"/>
      <c r="E29" s="9"/>
      <c r="F29" s="176">
        <f>_xlfn.IFNA(VLOOKUP(A29,'[1]LIC List'!$A$2:$I$136,6,FALSE),"n/a")</f>
        <v>1.18</v>
      </c>
      <c r="G29" s="26" t="str">
        <f>_xlfn.IFNA(VLOOKUP(A29,'[1]LIC List'!$A$2:$J$112,10,FALSE),"n/a")</f>
        <v>Yes</v>
      </c>
      <c r="H29" s="176">
        <f>_xlfn.IFNA(VLOOKUP(A29,'[1]LIC List'!$A$2:$J$145,8,FALSE)/1000000,"n/a")</f>
        <v>32.437481599999998</v>
      </c>
      <c r="I29" s="26">
        <f>_xlfn.IFNA(VLOOKUP(A29,'[1]LIC List'!$A$2:$N$136,14,FALSE)/1000000,"n/a")</f>
        <v>32.437481599999998</v>
      </c>
      <c r="J29" s="177">
        <f>_xlfn.IFNA(VLOOKUP(A29,[1]IRESS!$A$10:$F$875,5,FALSE),"n/a")</f>
        <v>0</v>
      </c>
      <c r="K29" s="28">
        <f>_xlfn.IFNA(VLOOKUP(A29,[1]IRESS!$A$11:$G$772,7,FALSE),"n/a")</f>
        <v>0</v>
      </c>
      <c r="L29" s="177">
        <f>_xlfn.IFNA(VLOOKUP(A29,[1]IRESS!$A$10:$F$875,4,FALSE),"n/a")</f>
        <v>0</v>
      </c>
      <c r="M29" s="29">
        <f>IFERROR(+K29/(H29*1000000),"n/a")</f>
        <v>0</v>
      </c>
      <c r="N29" s="104" t="e">
        <f>VLOOKUP(A29,[1]Spreads!$A$1:$G$87,7,FALSE)</f>
        <v>#N/A</v>
      </c>
      <c r="O29" s="178" t="str">
        <f>IFERROR(VLOOKUP(A29,'[1]LIC List'!$E$2:$R$112,14,FALSE),"n/a")</f>
        <v>n/a</v>
      </c>
      <c r="P29" s="179">
        <f>IFERROR(VLOOKUP(A29,[1]NAV!$B$3:$F$310,5,FALSE),"n/a")</f>
        <v>43251</v>
      </c>
      <c r="Q29" s="9"/>
      <c r="R29" s="180">
        <f>_xlfn.IFNA(VLOOKUP($A29,[1]IRESS!$A$11:$AE$696,6,FALSE)/100,"n/a")</f>
        <v>1.6</v>
      </c>
      <c r="S29" s="32">
        <f>_xlfn.IFNA(VLOOKUP($A29,[1]IRESS!$A$11:$AE$696,21,FALSE)/100,"n/a")</f>
        <v>0</v>
      </c>
      <c r="T29" s="180">
        <f>_xlfn.IFNA(VLOOKUP($A29,[1]IRESS!$A$11:$AE$696,22,FALSE)/100,"n/a")</f>
        <v>0</v>
      </c>
      <c r="V29" s="35">
        <f>IFERROR((VLOOKUP($A29,[1]IRESS!$A$11:$AE$696,20,FALSE)/100)/R29,"n/a")</f>
        <v>0</v>
      </c>
      <c r="W29" s="181" t="str">
        <f>IFERROR(VLOOKUP($A29,[1]Morningstar!$A$2:$F$477,3,FALSE),"n/a")</f>
        <v>n/a</v>
      </c>
      <c r="X29" s="35" t="str">
        <f>IFERROR(VLOOKUP($A29,[1]Morningstar!$A$2:$F$477,4,FALSE),"n/a")</f>
        <v>n/a</v>
      </c>
      <c r="Y29" s="181" t="str">
        <f>IFERROR(VLOOKUP($A29,[1]Morningstar!$A$2:$F$477,5,FALSE),"n/a")</f>
        <v>n/a</v>
      </c>
      <c r="Z29" s="35" t="str">
        <f>IFERROR(VLOOKUP($A29,[1]Morningstar!$A$2:$F$477,6,FALSE),"n/a")</f>
        <v>n/a</v>
      </c>
    </row>
    <row r="30" spans="1:26">
      <c r="A30" s="21" t="s">
        <v>526</v>
      </c>
      <c r="B30" s="174" t="s">
        <v>508</v>
      </c>
      <c r="C30" s="46" t="str">
        <f>VLOOKUP(A30,'[1]LIC List'!$A$2:$B$136,2,FALSE)</f>
        <v>Future Generation Investment Company Limited</v>
      </c>
      <c r="D30" s="24"/>
      <c r="E30" s="9"/>
      <c r="F30" s="176">
        <f>_xlfn.IFNA(VLOOKUP(A30,'[1]LIC List'!$A$2:$I$136,6,FALSE),"n/a")</f>
        <v>1</v>
      </c>
      <c r="G30" s="26" t="str">
        <f>_xlfn.IFNA(VLOOKUP(A30,'[1]LIC List'!$A$2:$J$112,10,FALSE),"n/a")</f>
        <v>No</v>
      </c>
      <c r="H30" s="176">
        <f>_xlfn.IFNA(VLOOKUP(A30,'[1]LIC List'!$A$2:$J$145,8,FALSE)/1000000,"n/a")</f>
        <v>440.94612873499995</v>
      </c>
      <c r="I30" s="26">
        <f>_xlfn.IFNA(VLOOKUP(A30,'[1]LIC List'!$A$2:$N$136,14,FALSE)/1000000,"n/a")</f>
        <v>5.2702724549999829</v>
      </c>
      <c r="J30" s="177">
        <f>_xlfn.IFNA(VLOOKUP(A30,[1]IRESS!$A$10:$F$875,5,FALSE),"n/a")</f>
        <v>5327625.4400000004</v>
      </c>
      <c r="K30" s="28">
        <f>_xlfn.IFNA(VLOOKUP(A30,[1]IRESS!$A$11:$G$772,7,FALSE),"n/a")</f>
        <v>4275692</v>
      </c>
      <c r="L30" s="177">
        <f>_xlfn.IFNA(VLOOKUP(A30,[1]IRESS!$A$10:$F$875,4,FALSE),"n/a")</f>
        <v>670</v>
      </c>
      <c r="M30" s="29">
        <f t="shared" si="0"/>
        <v>9.6966312240142332E-3</v>
      </c>
      <c r="N30" s="104" t="e">
        <f>VLOOKUP(A30,[1]Spreads!$A$1:$G$87,7,FALSE)</f>
        <v>#N/A</v>
      </c>
      <c r="O30" s="178">
        <f>IFERROR(VLOOKUP(A30,'[1]LIC List'!$E$2:$R$112,14,FALSE),"n/a")</f>
        <v>-1.1243122558009744E-2</v>
      </c>
      <c r="P30" s="179">
        <f>IFERROR(VLOOKUP(A30,[1]NAV!$B$3:$F$310,5,FALSE),"n/a")</f>
        <v>43251</v>
      </c>
      <c r="Q30" s="9"/>
      <c r="R30" s="180">
        <f>_xlfn.IFNA(VLOOKUP($A30,[1]IRESS!$A$11:$AE$696,6,FALSE)/100,"n/a")</f>
        <v>1.2549999999999999</v>
      </c>
      <c r="S30" s="32">
        <f>_xlfn.IFNA(VLOOKUP($A30,[1]IRESS!$A$11:$AE$696,21,FALSE)/100,"n/a")</f>
        <v>1.2649999999999999</v>
      </c>
      <c r="T30" s="180">
        <f>_xlfn.IFNA(VLOOKUP($A30,[1]IRESS!$A$11:$AE$696,22,FALSE)/100,"n/a")</f>
        <v>1.085</v>
      </c>
      <c r="V30" s="35">
        <f>IFERROR((VLOOKUP($A30,[1]IRESS!$A$11:$AE$696,20,FALSE)/100)/R30,"n/a")</f>
        <v>3.5059760956175308E-2</v>
      </c>
      <c r="W30" s="181">
        <f>IFERROR(VLOOKUP($A30,[1]Morningstar!$A$2:$F$477,3,FALSE),"n/a")</f>
        <v>-4.0000000000000001E-3</v>
      </c>
      <c r="X30" s="35">
        <f>IFERROR(VLOOKUP($A30,[1]Morningstar!$A$2:$F$477,4,FALSE),"n/a")</f>
        <v>0.1903</v>
      </c>
      <c r="Y30" s="181" t="s">
        <v>527</v>
      </c>
      <c r="Z30" s="35" t="s">
        <v>527</v>
      </c>
    </row>
    <row r="31" spans="1:26">
      <c r="A31" s="21" t="s">
        <v>528</v>
      </c>
      <c r="B31" s="174" t="s">
        <v>529</v>
      </c>
      <c r="C31" s="46" t="str">
        <f>VLOOKUP(A31,'[1]LIC List'!$A$2:$B$136,2,FALSE)</f>
        <v>Forager Australian Shares Fund</v>
      </c>
      <c r="D31" s="24"/>
      <c r="E31" s="9"/>
      <c r="F31" s="176">
        <f>_xlfn.IFNA(VLOOKUP(A31,'[1]LIC List'!$A$2:$I$136,6,FALSE),"n/a")</f>
        <v>1.88</v>
      </c>
      <c r="G31" s="26" t="str">
        <f>_xlfn.IFNA(VLOOKUP(A31,'[1]LIC List'!$A$2:$J$112,10,FALSE),"n/a")</f>
        <v>No</v>
      </c>
      <c r="H31" s="176">
        <f>_xlfn.IFNA(VLOOKUP(A31,'[1]LIC List'!$A$2:$J$145,8,FALSE)/1000000,"n/a")</f>
        <v>175.08180096000001</v>
      </c>
      <c r="I31" s="26">
        <f>_xlfn.IFNA(VLOOKUP(A31,'[1]LIC List'!$A$2:$N$136,14,FALSE)/1000000,"n/a")</f>
        <v>-10.030728179999977</v>
      </c>
      <c r="J31" s="177">
        <f>_xlfn.IFNA(VLOOKUP(A31,[1]IRESS!$A$10:$F$875,5,FALSE),"n/a")</f>
        <v>2277362.3200000003</v>
      </c>
      <c r="K31" s="28">
        <f>_xlfn.IFNA(VLOOKUP(A31,[1]IRESS!$A$11:$G$772,7,FALSE),"n/a")</f>
        <v>1106220</v>
      </c>
      <c r="L31" s="177">
        <f>_xlfn.IFNA(VLOOKUP(A31,[1]IRESS!$A$10:$F$875,4,FALSE),"n/a")</f>
        <v>293</v>
      </c>
      <c r="M31" s="29">
        <f t="shared" si="0"/>
        <v>6.3183037524998506E-3</v>
      </c>
      <c r="N31" s="104" t="e">
        <f>VLOOKUP(A31,[1]Spreads!$A$1:$G$87,7,FALSE)</f>
        <v>#N/A</v>
      </c>
      <c r="O31" s="178">
        <f>IFERROR(VLOOKUP(A31,'[1]LIC List'!$E$2:$R$112,14,FALSE),"n/a")</f>
        <v>0.12290502793296065</v>
      </c>
      <c r="P31" s="179">
        <f>IFERROR(VLOOKUP(A31,[1]NAV!$B$3:$F$310,5,FALSE),"n/a")</f>
        <v>43251</v>
      </c>
      <c r="Q31" s="9"/>
      <c r="R31" s="180">
        <f>_xlfn.IFNA(VLOOKUP($A31,[1]IRESS!$A$11:$AE$696,6,FALSE)/100,"n/a")</f>
        <v>1.92</v>
      </c>
      <c r="S31" s="32">
        <f>_xlfn.IFNA(VLOOKUP($A31,[1]IRESS!$A$11:$AE$696,21,FALSE)/100,"n/a")</f>
        <v>2.14</v>
      </c>
      <c r="T31" s="180">
        <f>_xlfn.IFNA(VLOOKUP($A31,[1]IRESS!$A$11:$AE$696,22,FALSE)/100,"n/a")</f>
        <v>1.84</v>
      </c>
      <c r="V31" s="35">
        <f>IFERROR((VLOOKUP($A31,[1]IRESS!$A$11:$AE$696,20,FALSE)/100)/R31,"n/a")</f>
        <v>0.11172552083333334</v>
      </c>
      <c r="W31" s="181">
        <f>IFERROR(VLOOKUP($A31,[1]Morningstar!$A$2:$F$477,3,FALSE),"n/a")</f>
        <v>7.0199999999999999E-2</v>
      </c>
      <c r="X31" s="35">
        <f>IFERROR(VLOOKUP($A31,[1]Morningstar!$A$2:$F$477,4,FALSE),"n/a")</f>
        <v>6.7100000000000007E-2</v>
      </c>
      <c r="Y31" s="181" t="s">
        <v>527</v>
      </c>
      <c r="Z31" s="35" t="s">
        <v>527</v>
      </c>
    </row>
    <row r="32" spans="1:26">
      <c r="A32" s="21" t="s">
        <v>530</v>
      </c>
      <c r="B32" s="174" t="s">
        <v>508</v>
      </c>
      <c r="C32" s="46" t="str">
        <f>VLOOKUP(A32,'[1]LIC List'!$A$2:$B$136,2,FALSE)</f>
        <v>Flagship Investments Limited</v>
      </c>
      <c r="D32" s="24"/>
      <c r="E32" s="9"/>
      <c r="F32" s="176" t="str">
        <f>_xlfn.IFNA(VLOOKUP(A32,'[1]LIC List'!$A$2:$I$136,6,FALSE),"n/a")</f>
        <v>n/a</v>
      </c>
      <c r="G32" s="26" t="str">
        <f>_xlfn.IFNA(VLOOKUP(A32,'[1]LIC List'!$A$2:$J$112,10,FALSE),"n/a")</f>
        <v>Yes</v>
      </c>
      <c r="H32" s="176">
        <f>_xlfn.IFNA(VLOOKUP(A32,'[1]LIC List'!$A$2:$J$145,8,FALSE)/1000000,"n/a")</f>
        <v>42.717082800000007</v>
      </c>
      <c r="I32" s="26">
        <f>_xlfn.IFNA(VLOOKUP(A32,'[1]LIC List'!$A$2:$N$136,14,FALSE)/1000000,"n/a")</f>
        <v>1.9127052000000029</v>
      </c>
      <c r="J32" s="177">
        <f>_xlfn.IFNA(VLOOKUP(A32,[1]IRESS!$A$10:$F$875,5,FALSE),"n/a")</f>
        <v>390123.75499999995</v>
      </c>
      <c r="K32" s="28">
        <f>_xlfn.IFNA(VLOOKUP(A32,[1]IRESS!$A$11:$G$772,7,FALSE),"n/a")</f>
        <v>233704</v>
      </c>
      <c r="L32" s="177">
        <f>_xlfn.IFNA(VLOOKUP(A32,[1]IRESS!$A$10:$F$875,4,FALSE),"n/a")</f>
        <v>65</v>
      </c>
      <c r="M32" s="29">
        <f t="shared" si="0"/>
        <v>5.47097284461569E-3</v>
      </c>
      <c r="N32" s="104" t="e">
        <f>VLOOKUP(A32,[1]Spreads!$A$1:$G$87,7,FALSE)</f>
        <v>#N/A</v>
      </c>
      <c r="O32" s="178">
        <f>IFERROR(VLOOKUP(A32,'[1]LIC List'!$E$2:$R$112,14,FALSE),"n/a")</f>
        <v>-0.18408975012748596</v>
      </c>
      <c r="P32" s="179">
        <f>IFERROR(VLOOKUP(A32,[1]NAV!$B$3:$F$310,5,FALSE),"n/a")</f>
        <v>43251</v>
      </c>
      <c r="Q32" s="9"/>
      <c r="R32" s="180">
        <f>_xlfn.IFNA(VLOOKUP($A32,[1]IRESS!$A$11:$AE$696,6,FALSE)/100,"n/a")</f>
        <v>1.66</v>
      </c>
      <c r="S32" s="32">
        <f>_xlfn.IFNA(VLOOKUP($A32,[1]IRESS!$A$11:$AE$696,21,FALSE)/100,"n/a")</f>
        <v>1.7350000000000001</v>
      </c>
      <c r="T32" s="180">
        <f>_xlfn.IFNA(VLOOKUP($A32,[1]IRESS!$A$11:$AE$696,22,FALSE)/100,"n/a")</f>
        <v>1.52</v>
      </c>
      <c r="V32" s="35">
        <f>IFERROR((VLOOKUP($A32,[1]IRESS!$A$11:$AE$696,20,FALSE)/100)/R32,"n/a")</f>
        <v>4.5180722891566265E-2</v>
      </c>
      <c r="W32" s="181">
        <f>IFERROR(VLOOKUP($A32,[1]Morningstar!$A$2:$F$477,3,FALSE),"n/a")</f>
        <v>9.1000000000000004E-3</v>
      </c>
      <c r="X32" s="35">
        <f>IFERROR(VLOOKUP($A32,[1]Morningstar!$A$2:$F$477,4,FALSE),"n/a")</f>
        <v>0.1244</v>
      </c>
      <c r="Y32" s="181">
        <f>IFERROR(VLOOKUP($A32,[1]Morningstar!$A$2:$F$477,5,FALSE),"n/a")</f>
        <v>0.1178</v>
      </c>
      <c r="Z32" s="35">
        <f>IFERROR(VLOOKUP($A32,[1]Morningstar!$A$2:$F$477,6,FALSE),"n/a")</f>
        <v>9.8599999999999993E-2</v>
      </c>
    </row>
    <row r="33" spans="1:26">
      <c r="A33" s="21" t="s">
        <v>531</v>
      </c>
      <c r="B33" s="174" t="s">
        <v>508</v>
      </c>
      <c r="C33" s="46" t="str">
        <f>VLOOKUP(A33,'[1]LIC List'!$A$2:$B$136,2,FALSE)</f>
        <v>Ironbark Capital Limited</v>
      </c>
      <c r="D33" s="24"/>
      <c r="E33" s="9"/>
      <c r="F33" s="176">
        <f>_xlfn.IFNA(VLOOKUP(A33,'[1]LIC List'!$A$2:$I$136,6,FALSE),"n/a")</f>
        <v>0.65</v>
      </c>
      <c r="G33" s="26" t="str">
        <f>_xlfn.IFNA(VLOOKUP(A33,'[1]LIC List'!$A$2:$J$112,10,FALSE),"n/a")</f>
        <v>Yes</v>
      </c>
      <c r="H33" s="176">
        <f>_xlfn.IFNA(VLOOKUP(A33,'[1]LIC List'!$A$2:$J$145,8,FALSE)/1000000,"n/a")</f>
        <v>67.256738989999988</v>
      </c>
      <c r="I33" s="26">
        <f>_xlfn.IFNA(VLOOKUP(A33,'[1]LIC List'!$A$2:$N$136,14,FALSE)/1000000,"n/a")</f>
        <v>0</v>
      </c>
      <c r="J33" s="177">
        <f>_xlfn.IFNA(VLOOKUP(A33,[1]IRESS!$A$10:$F$875,5,FALSE),"n/a")</f>
        <v>241002.84</v>
      </c>
      <c r="K33" s="28">
        <f>_xlfn.IFNA(VLOOKUP(A33,[1]IRESS!$A$11:$G$772,7,FALSE),"n/a")</f>
        <v>495266</v>
      </c>
      <c r="L33" s="177">
        <f>_xlfn.IFNA(VLOOKUP(A33,[1]IRESS!$A$10:$F$875,4,FALSE),"n/a")</f>
        <v>35</v>
      </c>
      <c r="M33" s="29">
        <f t="shared" si="0"/>
        <v>7.3638122727543798E-3</v>
      </c>
      <c r="N33" s="104" t="e">
        <f>VLOOKUP(A33,[1]Spreads!$A$1:$G$87,7,FALSE)</f>
        <v>#N/A</v>
      </c>
      <c r="O33" s="178">
        <f>IFERROR(VLOOKUP(A33,'[1]LIC List'!$E$2:$R$112,14,FALSE),"n/a")</f>
        <v>-5.5876685934489356E-2</v>
      </c>
      <c r="P33" s="179">
        <f>IFERROR(VLOOKUP(A33,[1]NAV!$B$3:$F$310,5,FALSE),"n/a")</f>
        <v>43251</v>
      </c>
      <c r="Q33" s="9"/>
      <c r="R33" s="180">
        <f>_xlfn.IFNA(VLOOKUP($A33,[1]IRESS!$A$11:$AE$696,6,FALSE)/100,"n/a")</f>
        <v>0.49</v>
      </c>
      <c r="S33" s="32">
        <f>_xlfn.IFNA(VLOOKUP($A33,[1]IRESS!$A$11:$AE$696,21,FALSE)/100,"n/a")</f>
        <v>0.53</v>
      </c>
      <c r="T33" s="180">
        <f>_xlfn.IFNA(VLOOKUP($A33,[1]IRESS!$A$11:$AE$696,22,FALSE)/100,"n/a")</f>
        <v>0.46</v>
      </c>
      <c r="V33" s="35">
        <f>IFERROR((VLOOKUP($A33,[1]IRESS!$A$11:$AE$696,20,FALSE)/100)/R33,"n/a")</f>
        <v>3.7755102040816335E-2</v>
      </c>
      <c r="W33" s="181">
        <f>IFERROR(VLOOKUP($A33,[1]Morningstar!$A$2:$F$477,3,FALSE),"n/a")</f>
        <v>0</v>
      </c>
      <c r="X33" s="35">
        <f>IFERROR(VLOOKUP($A33,[1]Morningstar!$A$2:$F$477,4,FALSE),"n/a")</f>
        <v>1.61E-2</v>
      </c>
      <c r="Y33" s="181">
        <f>IFERROR(VLOOKUP($A33,[1]Morningstar!$A$2:$F$477,5,FALSE),"n/a")</f>
        <v>2.0899999999999998E-2</v>
      </c>
      <c r="Z33" s="35">
        <f>IFERROR(VLOOKUP($A33,[1]Morningstar!$A$2:$F$477,6,FALSE),"n/a")</f>
        <v>4.3900000000000002E-2</v>
      </c>
    </row>
    <row r="34" spans="1:26">
      <c r="A34" s="21" t="s">
        <v>532</v>
      </c>
      <c r="B34" s="174" t="s">
        <v>508</v>
      </c>
      <c r="C34" s="46" t="str">
        <f>VLOOKUP(A34,'[1]LIC List'!$A$2:$B$136,2,FALSE)</f>
        <v>Monash Absolute Investment Company Limited</v>
      </c>
      <c r="D34" s="24"/>
      <c r="E34" s="9"/>
      <c r="F34" s="176">
        <f>_xlfn.IFNA(VLOOKUP(A34,'[1]LIC List'!$A$2:$I$136,6,FALSE),"n/a")</f>
        <v>1.5</v>
      </c>
      <c r="G34" s="26" t="str">
        <f>_xlfn.IFNA(VLOOKUP(A34,'[1]LIC List'!$A$2:$J$112,10,FALSE),"n/a")</f>
        <v>Yes</v>
      </c>
      <c r="H34" s="176">
        <f>_xlfn.IFNA(VLOOKUP(A34,'[1]LIC List'!$A$2:$J$145,8,FALSE)/1000000,"n/a")</f>
        <v>40.363217519999999</v>
      </c>
      <c r="I34" s="26">
        <f>_xlfn.IFNA(VLOOKUP(A34,'[1]LIC List'!$A$2:$N$136,14,FALSE)/1000000,"n/a")</f>
        <v>-0.53718384000000363</v>
      </c>
      <c r="J34" s="177">
        <f>_xlfn.IFNA(VLOOKUP(A34,[1]IRESS!$A$10:$F$875,5,FALSE),"n/a")</f>
        <v>1569776.1099999999</v>
      </c>
      <c r="K34" s="28">
        <f>_xlfn.IFNA(VLOOKUP(A34,[1]IRESS!$A$11:$G$772,7,FALSE),"n/a")</f>
        <v>1893120</v>
      </c>
      <c r="L34" s="177">
        <f>_xlfn.IFNA(VLOOKUP(A34,[1]IRESS!$A$10:$F$875,4,FALSE),"n/a")</f>
        <v>163</v>
      </c>
      <c r="M34" s="29">
        <f t="shared" si="0"/>
        <v>4.6902108313390971E-2</v>
      </c>
      <c r="N34" s="104" t="e">
        <f>VLOOKUP(A34,[1]Spreads!$A$1:$G$87,7,FALSE)</f>
        <v>#N/A</v>
      </c>
      <c r="O34" s="178">
        <f>IFERROR(VLOOKUP(A34,'[1]LIC List'!$E$2:$R$112,14,FALSE),"n/a")</f>
        <v>-0.15254237288135597</v>
      </c>
      <c r="P34" s="179">
        <f>IFERROR(VLOOKUP(A34,[1]NAV!$B$3:$F$310,5,FALSE),"n/a")</f>
        <v>43251</v>
      </c>
      <c r="Q34" s="9"/>
      <c r="R34" s="180">
        <f>_xlfn.IFNA(VLOOKUP($A34,[1]IRESS!$A$11:$AE$696,6,FALSE)/100,"n/a")</f>
        <v>0.82</v>
      </c>
      <c r="S34" s="32">
        <f>_xlfn.IFNA(VLOOKUP($A34,[1]IRESS!$A$11:$AE$696,21,FALSE)/100,"n/a")</f>
        <v>0.94</v>
      </c>
      <c r="T34" s="180">
        <f>_xlfn.IFNA(VLOOKUP($A34,[1]IRESS!$A$11:$AE$696,22,FALSE)/100,"n/a")</f>
        <v>0.74</v>
      </c>
      <c r="V34" s="35">
        <f>IFERROR((VLOOKUP($A34,[1]IRESS!$A$11:$AE$696,20,FALSE)/100)/R34,"n/a")</f>
        <v>0</v>
      </c>
      <c r="W34" s="181">
        <f>IFERROR(VLOOKUP($A34,[1]Morningstar!$A$2:$F$477,3,FALSE),"n/a")</f>
        <v>-6.1000000000000004E-3</v>
      </c>
      <c r="X34" s="35">
        <f>IFERROR(VLOOKUP($A34,[1]Morningstar!$A$2:$F$477,4,FALSE),"n/a")</f>
        <v>9.3200000000000005E-2</v>
      </c>
      <c r="Y34" s="181" t="str">
        <f>IFERROR(VLOOKUP($A34,[1]Morningstar!$A$2:$F$477,5,FALSE),"n/a")</f>
        <v>n/a</v>
      </c>
      <c r="Z34" s="35" t="str">
        <f>IFERROR(VLOOKUP($A34,[1]Morningstar!$A$2:$F$477,6,FALSE),"n/a")</f>
        <v>n/a</v>
      </c>
    </row>
    <row r="35" spans="1:26">
      <c r="A35" s="21" t="s">
        <v>533</v>
      </c>
      <c r="B35" s="174" t="s">
        <v>508</v>
      </c>
      <c r="C35" s="46" t="str">
        <f>VLOOKUP(A35,'[1]LIC List'!$A$2:$B$136,2,FALSE)</f>
        <v>Mirrabooka Investments Limited</v>
      </c>
      <c r="D35" s="24"/>
      <c r="E35" s="9"/>
      <c r="F35" s="176">
        <f>_xlfn.IFNA(VLOOKUP(A35,'[1]LIC List'!$A$2:$I$136,6,FALSE),"n/a")</f>
        <v>0.7</v>
      </c>
      <c r="G35" s="26" t="str">
        <f>_xlfn.IFNA(VLOOKUP(A35,'[1]LIC List'!$A$2:$J$112,10,FALSE),"n/a")</f>
        <v>No</v>
      </c>
      <c r="H35" s="176">
        <f>_xlfn.IFNA(VLOOKUP(A35,'[1]LIC List'!$A$2:$J$145,8,FALSE)/1000000,"n/a")</f>
        <v>425.42675220999996</v>
      </c>
      <c r="I35" s="26">
        <f>_xlfn.IFNA(VLOOKUP(A35,'[1]LIC List'!$A$2:$N$136,14,FALSE)/1000000,"n/a")</f>
        <v>7.9075604499999876</v>
      </c>
      <c r="J35" s="177">
        <f>_xlfn.IFNA(VLOOKUP(A35,[1]IRESS!$A$10:$F$875,5,FALSE),"n/a")</f>
        <v>3362926.4950000001</v>
      </c>
      <c r="K35" s="28">
        <f>_xlfn.IFNA(VLOOKUP(A35,[1]IRESS!$A$11:$G$772,7,FALSE),"n/a")</f>
        <v>1263327</v>
      </c>
      <c r="L35" s="177">
        <f>_xlfn.IFNA(VLOOKUP(A35,[1]IRESS!$A$10:$F$875,4,FALSE),"n/a")</f>
        <v>427</v>
      </c>
      <c r="M35" s="29">
        <f t="shared" si="0"/>
        <v>2.9695523223146861E-3</v>
      </c>
      <c r="N35" s="104" t="e">
        <f>VLOOKUP(A35,[1]Spreads!$A$1:$G$87,7,FALSE)</f>
        <v>#N/A</v>
      </c>
      <c r="O35" s="178">
        <f>IFERROR(VLOOKUP(A35,'[1]LIC List'!$E$2:$R$112,14,FALSE),"n/a")</f>
        <v>3.5714285714285809E-2</v>
      </c>
      <c r="P35" s="179">
        <f>IFERROR(VLOOKUP(A35,[1]NAV!$B$3:$F$310,5,FALSE),"n/a")</f>
        <v>43251</v>
      </c>
      <c r="Q35" s="9"/>
      <c r="R35" s="180">
        <f>_xlfn.IFNA(VLOOKUP($A35,[1]IRESS!$A$11:$AE$696,6,FALSE)/100,"n/a")</f>
        <v>2.69</v>
      </c>
      <c r="S35" s="32">
        <f>_xlfn.IFNA(VLOOKUP($A35,[1]IRESS!$A$11:$AE$696,21,FALSE)/100,"n/a")</f>
        <v>2.94</v>
      </c>
      <c r="T35" s="180">
        <f>_xlfn.IFNA(VLOOKUP($A35,[1]IRESS!$A$11:$AE$696,22,FALSE)/100,"n/a")</f>
        <v>2.54</v>
      </c>
      <c r="V35" s="35">
        <f>IFERROR((VLOOKUP($A35,[1]IRESS!$A$11:$AE$696,20,FALSE)/100)/R35,"n/a")</f>
        <v>3.717472118959108E-2</v>
      </c>
      <c r="W35" s="181">
        <f>IFERROR(VLOOKUP($A35,[1]Morningstar!$A$2:$F$477,3,FALSE),"n/a")</f>
        <v>2.6700000000000002E-2</v>
      </c>
      <c r="X35" s="35">
        <f>IFERROR(VLOOKUP($A35,[1]Morningstar!$A$2:$F$477,4,FALSE),"n/a")</f>
        <v>4.8899999999999999E-2</v>
      </c>
      <c r="Y35" s="181">
        <f>IFERROR(VLOOKUP($A35,[1]Morningstar!$A$2:$F$477,5,FALSE),"n/a")</f>
        <v>6.9199999999999998E-2</v>
      </c>
      <c r="Z35" s="35">
        <f>IFERROR(VLOOKUP($A35,[1]Morningstar!$A$2:$F$477,6,FALSE),"n/a")</f>
        <v>9.0999999999999998E-2</v>
      </c>
    </row>
    <row r="36" spans="1:26">
      <c r="A36" s="21" t="s">
        <v>534</v>
      </c>
      <c r="B36" s="174" t="s">
        <v>508</v>
      </c>
      <c r="C36" s="46" t="str">
        <f>VLOOKUP(A36,'[1]LIC List'!$A$2:$B$136,2,FALSE)</f>
        <v>Milton Corporation Limited</v>
      </c>
      <c r="D36" s="24"/>
      <c r="E36" s="9"/>
      <c r="F36" s="176">
        <f>_xlfn.IFNA(VLOOKUP(A36,'[1]LIC List'!$A$2:$I$136,6,FALSE),"n/a")</f>
        <v>0.14000000000000001</v>
      </c>
      <c r="G36" s="26" t="str">
        <f>_xlfn.IFNA(VLOOKUP(A36,'[1]LIC List'!$A$2:$J$112,10,FALSE),"n/a")</f>
        <v>No</v>
      </c>
      <c r="H36" s="176">
        <f>_xlfn.IFNA(VLOOKUP(A36,'[1]LIC List'!$A$2:$J$145,8,FALSE)/1000000,"n/a")</f>
        <v>3034.1674571500002</v>
      </c>
      <c r="I36" s="26">
        <f>_xlfn.IFNA(VLOOKUP(A36,'[1]LIC List'!$A$2:$N$136,14,FALSE)/1000000,"n/a")</f>
        <v>52.653665199999807</v>
      </c>
      <c r="J36" s="177">
        <f>_xlfn.IFNA(VLOOKUP(A36,[1]IRESS!$A$10:$F$875,5,FALSE),"n/a")</f>
        <v>16021454.925000001</v>
      </c>
      <c r="K36" s="28">
        <f>_xlfn.IFNA(VLOOKUP(A36,[1]IRESS!$A$11:$G$772,7,FALSE),"n/a")</f>
        <v>3526303</v>
      </c>
      <c r="L36" s="177">
        <f>_xlfn.IFNA(VLOOKUP(A36,[1]IRESS!$A$10:$F$875,4,FALSE),"n/a")</f>
        <v>1424</v>
      </c>
      <c r="M36" s="29">
        <f t="shared" si="0"/>
        <v>1.1621978845268691E-3</v>
      </c>
      <c r="N36" s="104" t="e">
        <f>VLOOKUP(A36,[1]Spreads!$A$1:$G$87,7,FALSE)</f>
        <v>#N/A</v>
      </c>
      <c r="O36" s="178">
        <f>IFERROR(VLOOKUP(A36,'[1]LIC List'!$E$2:$R$112,14,FALSE),"n/a")</f>
        <v>-1.0940919037199293E-2</v>
      </c>
      <c r="P36" s="179">
        <f>IFERROR(VLOOKUP(A36,[1]NAV!$B$3:$F$310,5,FALSE),"n/a")</f>
        <v>43251</v>
      </c>
      <c r="Q36" s="9"/>
      <c r="R36" s="180">
        <f>_xlfn.IFNA(VLOOKUP($A36,[1]IRESS!$A$11:$AE$696,6,FALSE)/100,"n/a")</f>
        <v>4.6100000000000003</v>
      </c>
      <c r="S36" s="32">
        <f>_xlfn.IFNA(VLOOKUP($A36,[1]IRESS!$A$11:$AE$696,21,FALSE)/100,"n/a")</f>
        <v>4.8</v>
      </c>
      <c r="T36" s="180">
        <f>_xlfn.IFNA(VLOOKUP($A36,[1]IRESS!$A$11:$AE$696,22,FALSE)/100,"n/a")</f>
        <v>4.4000000000000004</v>
      </c>
      <c r="V36" s="35">
        <f>IFERROR((VLOOKUP($A36,[1]IRESS!$A$11:$AE$696,20,FALSE)/100)/R36,"n/a")</f>
        <v>4.0780911062906725E-2</v>
      </c>
      <c r="W36" s="181">
        <f>IFERROR(VLOOKUP($A36,[1]Morningstar!$A$2:$F$477,3,FALSE),"n/a")</f>
        <v>1.9800000000000002E-2</v>
      </c>
      <c r="X36" s="35">
        <f>IFERROR(VLOOKUP($A36,[1]Morningstar!$A$2:$F$477,4,FALSE),"n/a")</f>
        <v>6.5199999999999994E-2</v>
      </c>
      <c r="Y36" s="181">
        <f>IFERROR(VLOOKUP($A36,[1]Morningstar!$A$2:$F$477,5,FALSE),"n/a")</f>
        <v>5.1900000000000002E-2</v>
      </c>
      <c r="Z36" s="35">
        <f>IFERROR(VLOOKUP($A36,[1]Morningstar!$A$2:$F$477,6,FALSE),"n/a")</f>
        <v>9.0800000000000006E-2</v>
      </c>
    </row>
    <row r="37" spans="1:26">
      <c r="A37" s="21" t="s">
        <v>535</v>
      </c>
      <c r="B37" s="174" t="s">
        <v>508</v>
      </c>
      <c r="C37" s="46" t="str">
        <f>VLOOKUP(A37,'[1]LIC List'!$A$2:$B$136,2,FALSE)</f>
        <v>Mercantile Investment Company Ltd</v>
      </c>
      <c r="D37" s="24"/>
      <c r="E37" s="9"/>
      <c r="F37" s="176" t="str">
        <f>_xlfn.IFNA(VLOOKUP(A37,'[1]LIC List'!$A$2:$I$136,6,FALSE),"n/a")</f>
        <v>n/a</v>
      </c>
      <c r="G37" s="26" t="str">
        <f>_xlfn.IFNA(VLOOKUP(A37,'[1]LIC List'!$A$2:$J$112,10,FALSE),"n/a")</f>
        <v>n/a</v>
      </c>
      <c r="H37" s="176">
        <f>_xlfn.IFNA(VLOOKUP(A37,'[1]LIC List'!$A$2:$J$145,8,FALSE)/1000000,"n/a")</f>
        <v>49.122500000000002</v>
      </c>
      <c r="I37" s="26">
        <f>_xlfn.IFNA(VLOOKUP(A37,'[1]LIC List'!$A$2:$N$136,14,FALSE)/1000000,"n/a")</f>
        <v>1.4035</v>
      </c>
      <c r="J37" s="177">
        <f>_xlfn.IFNA(VLOOKUP(A37,[1]IRESS!$A$10:$F$875,5,FALSE),"n/a")</f>
        <v>95182.15</v>
      </c>
      <c r="K37" s="28">
        <f>_xlfn.IFNA(VLOOKUP(A37,[1]IRESS!$A$11:$G$772,7,FALSE),"n/a")</f>
        <v>549244</v>
      </c>
      <c r="L37" s="177">
        <f>_xlfn.IFNA(VLOOKUP(A37,[1]IRESS!$A$10:$F$875,4,FALSE),"n/a")</f>
        <v>79</v>
      </c>
      <c r="M37" s="29">
        <f t="shared" si="0"/>
        <v>1.1181108453356405E-2</v>
      </c>
      <c r="N37" s="104" t="e">
        <f>VLOOKUP(A37,[1]Spreads!$A$1:$G$87,7,FALSE)</f>
        <v>#N/A</v>
      </c>
      <c r="O37" s="178">
        <f>IFERROR(VLOOKUP(A37,'[1]LIC List'!$E$2:$R$112,14,FALSE),"n/a")</f>
        <v>-0.13880445795339402</v>
      </c>
      <c r="P37" s="179">
        <f>IFERROR(VLOOKUP(A37,[1]NAV!$B$3:$F$310,5,FALSE),"n/a")</f>
        <v>43251</v>
      </c>
      <c r="Q37" s="9"/>
      <c r="R37" s="180">
        <f>_xlfn.IFNA(VLOOKUP($A37,[1]IRESS!$A$11:$AE$696,6,FALSE)/100,"n/a")</f>
        <v>0.17499999999999999</v>
      </c>
      <c r="S37" s="32">
        <f>_xlfn.IFNA(VLOOKUP($A37,[1]IRESS!$A$11:$AE$696,21,FALSE)/100,"n/a")</f>
        <v>0.185</v>
      </c>
      <c r="T37" s="180">
        <f>_xlfn.IFNA(VLOOKUP($A37,[1]IRESS!$A$11:$AE$696,22,FALSE)/100,"n/a")</f>
        <v>0.15</v>
      </c>
      <c r="V37" s="35">
        <f>IFERROR((VLOOKUP($A37,[1]IRESS!$A$11:$AE$696,20,FALSE)/100)/R37,"n/a")</f>
        <v>0</v>
      </c>
      <c r="W37" s="181">
        <f>IFERROR(VLOOKUP($A37,[1]Morningstar!$A$2:$F$477,3,FALSE),"n/a")</f>
        <v>0</v>
      </c>
      <c r="X37" s="35">
        <f>IFERROR(VLOOKUP($A37,[1]Morningstar!$A$2:$F$477,4,FALSE),"n/a")</f>
        <v>0.1303</v>
      </c>
      <c r="Y37" s="181">
        <f>IFERROR(VLOOKUP($A37,[1]Morningstar!$A$2:$F$477,5,FALSE),"n/a")</f>
        <v>0.1193</v>
      </c>
      <c r="Z37" s="35">
        <f>IFERROR(VLOOKUP($A37,[1]Morningstar!$A$2:$F$477,6,FALSE),"n/a")</f>
        <v>0.121</v>
      </c>
    </row>
    <row r="38" spans="1:26">
      <c r="A38" s="21" t="s">
        <v>536</v>
      </c>
      <c r="B38" s="174" t="s">
        <v>508</v>
      </c>
      <c r="C38" s="46" t="str">
        <f>VLOOKUP(A38,'[1]LIC List'!$A$2:$B$136,2,FALSE)</f>
        <v>NGE Capital Limited</v>
      </c>
      <c r="D38" s="24"/>
      <c r="E38" s="9"/>
      <c r="F38" s="176" t="str">
        <f>_xlfn.IFNA(VLOOKUP(A38,'[1]LIC List'!$A$2:$I$136,6,FALSE),"n/a")</f>
        <v>n/a</v>
      </c>
      <c r="G38" s="26" t="str">
        <f>_xlfn.IFNA(VLOOKUP(A38,'[1]LIC List'!$A$2:$J$112,10,FALSE),"n/a")</f>
        <v>n/a</v>
      </c>
      <c r="H38" s="176">
        <f>_xlfn.IFNA(VLOOKUP(A38,'[1]LIC List'!$A$2:$J$145,8,FALSE)/1000000,"n/a")</f>
        <v>25.006860240000002</v>
      </c>
      <c r="I38" s="26">
        <f>_xlfn.IFNA(VLOOKUP(A38,'[1]LIC List'!$A$2:$N$136,14,FALSE)/1000000,"n/a")</f>
        <v>-0.8298088799999952</v>
      </c>
      <c r="J38" s="177">
        <f>_xlfn.IFNA(VLOOKUP(A38,[1]IRESS!$A$10:$F$875,5,FALSE),"n/a")</f>
        <v>181558.96500000003</v>
      </c>
      <c r="K38" s="28">
        <f>_xlfn.IFNA(VLOOKUP(A38,[1]IRESS!$A$11:$G$772,7,FALSE),"n/a")</f>
        <v>264761</v>
      </c>
      <c r="L38" s="177">
        <f>_xlfn.IFNA(VLOOKUP(A38,[1]IRESS!$A$10:$F$875,4,FALSE),"n/a")</f>
        <v>97</v>
      </c>
      <c r="M38" s="29">
        <f t="shared" si="0"/>
        <v>1.0587534678843791E-2</v>
      </c>
      <c r="N38" s="104" t="e">
        <f>VLOOKUP(A38,[1]Spreads!$A$1:$G$87,7,FALSE)</f>
        <v>#N/A</v>
      </c>
      <c r="O38" s="178">
        <f>IFERROR(VLOOKUP(A38,'[1]LIC List'!$E$2:$R$112,14,FALSE),"n/a")</f>
        <v>-0.13749999999999996</v>
      </c>
      <c r="P38" s="179">
        <f>IFERROR(VLOOKUP(A38,[1]NAV!$B$3:$F$310,5,FALSE),"n/a")</f>
        <v>43251</v>
      </c>
      <c r="Q38" s="9"/>
      <c r="R38" s="180">
        <f>_xlfn.IFNA(VLOOKUP($A38,[1]IRESS!$A$11:$AE$696,6,FALSE)/100,"n/a")</f>
        <v>0.67</v>
      </c>
      <c r="S38" s="32">
        <f>_xlfn.IFNA(VLOOKUP($A38,[1]IRESS!$A$11:$AE$696,21,FALSE)/100,"n/a")</f>
        <v>0.73</v>
      </c>
      <c r="T38" s="180">
        <f>_xlfn.IFNA(VLOOKUP($A38,[1]IRESS!$A$11:$AE$696,22,FALSE)/100,"n/a")</f>
        <v>0.42</v>
      </c>
      <c r="V38" s="35">
        <f>IFERROR((VLOOKUP($A38,[1]IRESS!$A$11:$AE$696,20,FALSE)/100)/R38,"n/a")</f>
        <v>0</v>
      </c>
      <c r="W38" s="181">
        <f>IFERROR(VLOOKUP($A38,[1]Morningstar!$A$2:$F$477,3,FALSE),"n/a")</f>
        <v>-4.2999999999999997E-2</v>
      </c>
      <c r="X38" s="35">
        <f>IFERROR(VLOOKUP($A38,[1]Morningstar!$A$2:$F$477,4,FALSE),"n/a")</f>
        <v>0.48849999999999999</v>
      </c>
      <c r="Y38" s="181">
        <f>IFERROR(VLOOKUP($A38,[1]Morningstar!$A$2:$F$477,5,FALSE),"n/a")</f>
        <v>0.1328</v>
      </c>
      <c r="Z38" s="35">
        <f>IFERROR(VLOOKUP($A38,[1]Morningstar!$A$2:$F$477,6,FALSE),"n/a")</f>
        <v>0.1449</v>
      </c>
    </row>
    <row r="39" spans="1:26">
      <c r="A39" s="21" t="s">
        <v>537</v>
      </c>
      <c r="B39" s="174" t="s">
        <v>508</v>
      </c>
      <c r="C39" s="46" t="str">
        <f>VLOOKUP(A39,'[1]LIC List'!$A$2:$B$136,2,FALSE)</f>
        <v>Orion Equities Limited</v>
      </c>
      <c r="D39" s="24"/>
      <c r="E39" s="9"/>
      <c r="F39" s="176" t="str">
        <f>_xlfn.IFNA(VLOOKUP(A39,'[1]LIC List'!$A$2:$I$136,6,FALSE),"n/a")</f>
        <v>n/a</v>
      </c>
      <c r="G39" s="26" t="str">
        <f>_xlfn.IFNA(VLOOKUP(A39,'[1]LIC List'!$A$2:$J$112,10,FALSE),"n/a")</f>
        <v>n/a</v>
      </c>
      <c r="H39" s="176">
        <f>_xlfn.IFNA(VLOOKUP(A39,'[1]LIC List'!$A$2:$J$145,8,FALSE)/1000000,"n/a")</f>
        <v>2.9393741850000001</v>
      </c>
      <c r="I39" s="26">
        <f>_xlfn.IFNA(VLOOKUP(A39,'[1]LIC List'!$A$2:$N$136,14,FALSE)/1000000,"n/a")</f>
        <v>0</v>
      </c>
      <c r="J39" s="177">
        <f>_xlfn.IFNA(VLOOKUP(A39,[1]IRESS!$A$10:$F$875,5,FALSE),"n/a")</f>
        <v>2610</v>
      </c>
      <c r="K39" s="28">
        <f>_xlfn.IFNA(VLOOKUP(A39,[1]IRESS!$A$11:$G$772,7,FALSE),"n/a")</f>
        <v>16000</v>
      </c>
      <c r="L39" s="177">
        <f>_xlfn.IFNA(VLOOKUP(A39,[1]IRESS!$A$10:$F$875,4,FALSE),"n/a")</f>
        <v>2</v>
      </c>
      <c r="M39" s="29">
        <f t="shared" si="0"/>
        <v>5.4433355513734977E-3</v>
      </c>
      <c r="N39" s="104" t="e">
        <f>VLOOKUP(A39,[1]Spreads!$A$1:$G$87,7,FALSE)</f>
        <v>#N/A</v>
      </c>
      <c r="O39" s="178">
        <f>IFERROR(VLOOKUP(A39,'[1]LIC List'!$E$2:$R$112,14,FALSE),"n/a")</f>
        <v>-0.40754039497307004</v>
      </c>
      <c r="P39" s="179">
        <f>IFERROR(VLOOKUP(A39,[1]NAV!$B$3:$F$310,5,FALSE),"n/a")</f>
        <v>43251</v>
      </c>
      <c r="Q39" s="9"/>
      <c r="R39" s="180">
        <f>_xlfn.IFNA(VLOOKUP($A39,[1]IRESS!$A$11:$AE$696,6,FALSE)/100,"n/a")</f>
        <v>0.16</v>
      </c>
      <c r="S39" s="32">
        <f>_xlfn.IFNA(VLOOKUP($A39,[1]IRESS!$A$11:$AE$696,21,FALSE)/100,"n/a")</f>
        <v>0.21</v>
      </c>
      <c r="T39" s="180">
        <f>_xlfn.IFNA(VLOOKUP($A39,[1]IRESS!$A$11:$AE$696,22,FALSE)/100,"n/a")</f>
        <v>0.15</v>
      </c>
      <c r="V39" s="35">
        <f>IFERROR((VLOOKUP($A39,[1]IRESS!$A$11:$AE$696,20,FALSE)/100)/R39,"n/a")</f>
        <v>0</v>
      </c>
      <c r="W39" s="181">
        <f>IFERROR(VLOOKUP($A39,[1]Morningstar!$A$2:$F$477,3,FALSE),"n/a")</f>
        <v>-3.0499999999999999E-2</v>
      </c>
      <c r="X39" s="35">
        <f>IFERROR(VLOOKUP($A39,[1]Morningstar!$A$2:$F$477,4,FALSE),"n/a")</f>
        <v>-8.5000000000000006E-3</v>
      </c>
      <c r="Y39" s="181">
        <f>IFERROR(VLOOKUP($A39,[1]Morningstar!$A$2:$F$477,5,FALSE),"n/a")</f>
        <v>-7.0599999999999996E-2</v>
      </c>
      <c r="Z39" s="35">
        <f>IFERROR(VLOOKUP($A39,[1]Morningstar!$A$2:$F$477,6,FALSE),"n/a")</f>
        <v>-2.3699999999999999E-2</v>
      </c>
    </row>
    <row r="40" spans="1:26">
      <c r="A40" s="21" t="s">
        <v>538</v>
      </c>
      <c r="B40" s="174" t="s">
        <v>508</v>
      </c>
      <c r="C40" s="46" t="str">
        <f>VLOOKUP(A40,'[1]LIC List'!$A$2:$B$136,2,FALSE)</f>
        <v>Perpetual Equity Investment Company Limited</v>
      </c>
      <c r="D40" s="24"/>
      <c r="E40" s="9"/>
      <c r="F40" s="176">
        <f>_xlfn.IFNA(VLOOKUP(A40,'[1]LIC List'!$A$2:$I$136,6,FALSE),"n/a")</f>
        <v>1</v>
      </c>
      <c r="G40" s="26" t="str">
        <f>_xlfn.IFNA(VLOOKUP(A40,'[1]LIC List'!$A$2:$J$112,10,FALSE),"n/a")</f>
        <v>No</v>
      </c>
      <c r="H40" s="176">
        <f>_xlfn.IFNA(VLOOKUP(A40,'[1]LIC List'!$A$2:$J$145,8,FALSE)/1000000,"n/a")</f>
        <v>297.69822341999998</v>
      </c>
      <c r="I40" s="26">
        <f>_xlfn.IFNA(VLOOKUP(A40,'[1]LIC List'!$A$2:$N$136,14,FALSE)/1000000,"n/a")</f>
        <v>11.449931669999957</v>
      </c>
      <c r="J40" s="177">
        <f>_xlfn.IFNA(VLOOKUP(A40,[1]IRESS!$A$10:$F$875,5,FALSE),"n/a")</f>
        <v>4264456.3899999997</v>
      </c>
      <c r="K40" s="28">
        <f>_xlfn.IFNA(VLOOKUP(A40,[1]IRESS!$A$11:$G$772,7,FALSE),"n/a")</f>
        <v>3724820</v>
      </c>
      <c r="L40" s="177">
        <f>_xlfn.IFNA(VLOOKUP(A40,[1]IRESS!$A$10:$F$875,4,FALSE),"n/a")</f>
        <v>560</v>
      </c>
      <c r="M40" s="29">
        <f t="shared" si="0"/>
        <v>1.2512066606272394E-2</v>
      </c>
      <c r="N40" s="104" t="e">
        <f>VLOOKUP(A40,[1]Spreads!$A$1:$G$87,7,FALSE)</f>
        <v>#N/A</v>
      </c>
      <c r="O40" s="178">
        <f>IFERROR(VLOOKUP(A40,'[1]LIC List'!$E$2:$R$112,14,FALSE),"n/a")</f>
        <v>1.423487544483959E-2</v>
      </c>
      <c r="P40" s="179">
        <f>IFERROR(VLOOKUP(A40,[1]NAV!$B$3:$F$310,5,FALSE),"n/a")</f>
        <v>43251</v>
      </c>
      <c r="Q40" s="9"/>
      <c r="R40" s="180">
        <f>_xlfn.IFNA(VLOOKUP($A40,[1]IRESS!$A$11:$AE$696,6,FALSE)/100,"n/a")</f>
        <v>1.17</v>
      </c>
      <c r="S40" s="32">
        <f>_xlfn.IFNA(VLOOKUP($A40,[1]IRESS!$A$11:$AE$696,21,FALSE)/100,"n/a")</f>
        <v>1.19</v>
      </c>
      <c r="T40" s="180">
        <f>_xlfn.IFNA(VLOOKUP($A40,[1]IRESS!$A$11:$AE$696,22,FALSE)/100,"n/a")</f>
        <v>1.03</v>
      </c>
      <c r="V40" s="35">
        <f>IFERROR((VLOOKUP($A40,[1]IRESS!$A$11:$AE$696,20,FALSE)/100)/R40,"n/a")</f>
        <v>4.7008547008547015E-2</v>
      </c>
      <c r="W40" s="181">
        <f>IFERROR(VLOOKUP($A40,[1]Morningstar!$A$2:$F$477,3,FALSE),"n/a")</f>
        <v>2.1899999999999999E-2</v>
      </c>
      <c r="X40" s="35">
        <f>IFERROR(VLOOKUP($A40,[1]Morningstar!$A$2:$F$477,4,FALSE),"n/a")</f>
        <v>0.18859999999999999</v>
      </c>
      <c r="Y40" s="181">
        <f>IFERROR(VLOOKUP($A40,[1]Morningstar!$A$2:$F$477,5,FALSE),"n/a")</f>
        <v>0.11020000000000001</v>
      </c>
      <c r="Z40" s="35" t="str">
        <f>IFERROR(VLOOKUP($A40,[1]Morningstar!$A$2:$F$477,6,FALSE),"n/a")</f>
        <v>n/a</v>
      </c>
    </row>
    <row r="41" spans="1:26">
      <c r="A41" s="21" t="s">
        <v>539</v>
      </c>
      <c r="B41" s="174" t="s">
        <v>508</v>
      </c>
      <c r="C41" s="46" t="str">
        <f>VLOOKUP(A41,'[1]LIC List'!$A$2:$B$136,2,FALSE)</f>
        <v>WAM Capital Limited</v>
      </c>
      <c r="D41" s="24"/>
      <c r="E41" s="9"/>
      <c r="F41" s="176">
        <f>_xlfn.IFNA(VLOOKUP(A41,'[1]LIC List'!$A$2:$I$136,6,FALSE),"n/a")</f>
        <v>1</v>
      </c>
      <c r="G41" s="26" t="str">
        <f>_xlfn.IFNA(VLOOKUP(A41,'[1]LIC List'!$A$2:$J$112,10,FALSE),"n/a")</f>
        <v>Yes</v>
      </c>
      <c r="H41" s="176">
        <f>_xlfn.IFNA(VLOOKUP(A41,'[1]LIC List'!$A$2:$J$145,8,FALSE)/1000000,"n/a")</f>
        <v>1590.7039542800001</v>
      </c>
      <c r="I41" s="26">
        <f>_xlfn.IFNA(VLOOKUP(A41,'[1]LIC List'!$A$2:$N$136,14,FALSE)/1000000,"n/a")</f>
        <v>13.367260120000124</v>
      </c>
      <c r="J41" s="177">
        <f>_xlfn.IFNA(VLOOKUP(A41,[1]IRESS!$A$10:$F$875,5,FALSE),"n/a")</f>
        <v>30195525.614999995</v>
      </c>
      <c r="K41" s="28">
        <f>_xlfn.IFNA(VLOOKUP(A41,[1]IRESS!$A$11:$G$772,7,FALSE),"n/a")</f>
        <v>12699612</v>
      </c>
      <c r="L41" s="177">
        <f>_xlfn.IFNA(VLOOKUP(A41,[1]IRESS!$A$10:$F$875,4,FALSE),"n/a")</f>
        <v>2768</v>
      </c>
      <c r="M41" s="29">
        <f t="shared" si="0"/>
        <v>7.983642692174121E-3</v>
      </c>
      <c r="N41" s="104" t="e">
        <f>VLOOKUP(A41,[1]Spreads!$A$1:$G$87,7,FALSE)</f>
        <v>#N/A</v>
      </c>
      <c r="O41" s="178">
        <f>IFERROR(VLOOKUP(A41,'[1]LIC List'!$E$2:$R$112,14,FALSE),"n/a")</f>
        <v>0.18272025659015734</v>
      </c>
      <c r="P41" s="179">
        <f>IFERROR(VLOOKUP(A41,[1]NAV!$B$3:$F$310,5,FALSE),"n/a")</f>
        <v>43251</v>
      </c>
      <c r="Q41" s="9"/>
      <c r="R41" s="180">
        <f>_xlfn.IFNA(VLOOKUP($A41,[1]IRESS!$A$11:$AE$696,6,FALSE)/100,"n/a")</f>
        <v>2.38</v>
      </c>
      <c r="S41" s="32">
        <f>_xlfn.IFNA(VLOOKUP($A41,[1]IRESS!$A$11:$AE$696,21,FALSE)/100,"n/a")</f>
        <v>2.56</v>
      </c>
      <c r="T41" s="180">
        <f>_xlfn.IFNA(VLOOKUP($A41,[1]IRESS!$A$11:$AE$696,22,FALSE)/100,"n/a")</f>
        <v>2.2000000000000002</v>
      </c>
      <c r="V41" s="35">
        <f>IFERROR((VLOOKUP($A41,[1]IRESS!$A$11:$AE$696,20,FALSE)/100)/R41,"n/a")</f>
        <v>6.4075630252100849E-2</v>
      </c>
      <c r="W41" s="181">
        <f>IFERROR(VLOOKUP($A41,[1]Morningstar!$A$2:$F$477,3,FALSE),"n/a")</f>
        <v>0</v>
      </c>
      <c r="X41" s="35">
        <f>IFERROR(VLOOKUP($A41,[1]Morningstar!$A$2:$F$477,4,FALSE),"n/a")</f>
        <v>5.9799999999999999E-2</v>
      </c>
      <c r="Y41" s="181">
        <f>IFERROR(VLOOKUP($A41,[1]Morningstar!$A$2:$F$477,5,FALSE),"n/a")</f>
        <v>0.14560000000000001</v>
      </c>
      <c r="Z41" s="35">
        <f>IFERROR(VLOOKUP($A41,[1]Morningstar!$A$2:$F$477,6,FALSE),"n/a")</f>
        <v>0.1497</v>
      </c>
    </row>
    <row r="42" spans="1:26">
      <c r="A42" s="21" t="s">
        <v>540</v>
      </c>
      <c r="B42" s="174" t="s">
        <v>508</v>
      </c>
      <c r="C42" s="46" t="str">
        <f>VLOOKUP(A42,'[1]LIC List'!$A$2:$B$136,2,FALSE)</f>
        <v>Whitefield Limited</v>
      </c>
      <c r="D42" s="24"/>
      <c r="E42" s="9"/>
      <c r="F42" s="176">
        <f>_xlfn.IFNA(VLOOKUP(A42,'[1]LIC List'!$A$2:$I$136,6,FALSE),"n/a")</f>
        <v>0.35</v>
      </c>
      <c r="G42" s="26" t="str">
        <f>_xlfn.IFNA(VLOOKUP(A42,'[1]LIC List'!$A$2:$J$112,10,FALSE),"n/a")</f>
        <v>No</v>
      </c>
      <c r="H42" s="176">
        <f>_xlfn.IFNA(VLOOKUP(A42,'[1]LIC List'!$A$2:$J$145,8,FALSE)/1000000,"n/a")</f>
        <v>397.22498913999999</v>
      </c>
      <c r="I42" s="26">
        <f>_xlfn.IFNA(VLOOKUP(A42,'[1]LIC List'!$A$2:$N$136,14,FALSE)/1000000,"n/a")</f>
        <v>6.3246140999999643</v>
      </c>
      <c r="J42" s="177">
        <f>_xlfn.IFNA(VLOOKUP(A42,[1]IRESS!$A$10:$F$875,5,FALSE),"n/a")</f>
        <v>2403497.36</v>
      </c>
      <c r="K42" s="28">
        <f>_xlfn.IFNA(VLOOKUP(A42,[1]IRESS!$A$11:$G$772,7,FALSE),"n/a")</f>
        <v>531675</v>
      </c>
      <c r="L42" s="177">
        <f>_xlfn.IFNA(VLOOKUP(A42,[1]IRESS!$A$10:$F$875,4,FALSE),"n/a")</f>
        <v>194</v>
      </c>
      <c r="M42" s="29">
        <f t="shared" si="0"/>
        <v>1.338473194123781E-3</v>
      </c>
      <c r="N42" s="104" t="e">
        <f>VLOOKUP(A42,[1]Spreads!$A$1:$G$87,7,FALSE)</f>
        <v>#N/A</v>
      </c>
      <c r="O42" s="178">
        <f>IFERROR(VLOOKUP(A42,'[1]LIC List'!$E$2:$R$112,14,FALSE),"n/a")</f>
        <v>-3.0991735537189924E-2</v>
      </c>
      <c r="P42" s="179">
        <f>IFERROR(VLOOKUP(A42,[1]NAV!$B$3:$F$310,5,FALSE),"n/a")</f>
        <v>43251</v>
      </c>
      <c r="Q42" s="9"/>
      <c r="R42" s="180">
        <f>_xlfn.IFNA(VLOOKUP($A42,[1]IRESS!$A$11:$AE$696,6,FALSE)/100,"n/a")</f>
        <v>4.54</v>
      </c>
      <c r="S42" s="32">
        <f>_xlfn.IFNA(VLOOKUP($A42,[1]IRESS!$A$11:$AE$696,21,FALSE)/100,"n/a")</f>
        <v>4.9000000000000004</v>
      </c>
      <c r="T42" s="180">
        <f>_xlfn.IFNA(VLOOKUP($A42,[1]IRESS!$A$11:$AE$696,22,FALSE)/100,"n/a")</f>
        <v>4.43</v>
      </c>
      <c r="V42" s="35">
        <f>IFERROR((VLOOKUP($A42,[1]IRESS!$A$11:$AE$696,20,FALSE)/100)/R42,"n/a")</f>
        <v>3.909691629955947E-2</v>
      </c>
      <c r="W42" s="181">
        <f>IFERROR(VLOOKUP($A42,[1]Morningstar!$A$2:$F$477,3,FALSE),"n/a")</f>
        <v>1.7899999999999999E-2</v>
      </c>
      <c r="X42" s="35">
        <f>IFERROR(VLOOKUP($A42,[1]Morningstar!$A$2:$F$477,4,FALSE),"n/a")</f>
        <v>3.9E-2</v>
      </c>
      <c r="Y42" s="181">
        <f>IFERROR(VLOOKUP($A42,[1]Morningstar!$A$2:$F$477,5,FALSE),"n/a")</f>
        <v>4.4400000000000002E-2</v>
      </c>
      <c r="Z42" s="35">
        <f>IFERROR(VLOOKUP($A42,[1]Morningstar!$A$2:$F$477,6,FALSE),"n/a")</f>
        <v>9.6299999999999997E-2</v>
      </c>
    </row>
    <row r="43" spans="1:26">
      <c r="A43" s="21" t="s">
        <v>541</v>
      </c>
      <c r="B43" s="174" t="s">
        <v>508</v>
      </c>
      <c r="C43" s="46" t="str">
        <f>VLOOKUP(A43,'[1]LIC List'!$A$2:$B$136,2,FALSE)</f>
        <v>Westoz Investment Company Limited</v>
      </c>
      <c r="D43" s="24"/>
      <c r="E43" s="9"/>
      <c r="F43" s="176">
        <f>_xlfn.IFNA(VLOOKUP(A43,'[1]LIC List'!$A$2:$I$136,6,FALSE),"n/a")</f>
        <v>1.28</v>
      </c>
      <c r="G43" s="26" t="str">
        <f>_xlfn.IFNA(VLOOKUP(A43,'[1]LIC List'!$A$2:$J$112,10,FALSE),"n/a")</f>
        <v>Yes</v>
      </c>
      <c r="H43" s="176">
        <f>_xlfn.IFNA(VLOOKUP(A43,'[1]LIC List'!$A$2:$J$145,8,FALSE)/1000000,"n/a")</f>
        <v>152.38272230000001</v>
      </c>
      <c r="I43" s="26">
        <f>_xlfn.IFNA(VLOOKUP(A43,'[1]LIC List'!$A$2:$N$136,14,FALSE)/1000000,"n/a")</f>
        <v>0.76321826000002024</v>
      </c>
      <c r="J43" s="177">
        <f>_xlfn.IFNA(VLOOKUP(A43,[1]IRESS!$A$10:$F$875,5,FALSE),"n/a")</f>
        <v>1274850.2875000001</v>
      </c>
      <c r="K43" s="28">
        <f>_xlfn.IFNA(VLOOKUP(A43,[1]IRESS!$A$11:$G$772,7,FALSE),"n/a")</f>
        <v>1079907</v>
      </c>
      <c r="L43" s="177">
        <f>_xlfn.IFNA(VLOOKUP(A43,[1]IRESS!$A$10:$F$875,4,FALSE),"n/a")</f>
        <v>219</v>
      </c>
      <c r="M43" s="29">
        <f t="shared" si="0"/>
        <v>7.086807373567967E-3</v>
      </c>
      <c r="N43" s="104" t="e">
        <f>VLOOKUP(A43,[1]Spreads!$A$1:$G$87,7,FALSE)</f>
        <v>#N/A</v>
      </c>
      <c r="O43" s="178">
        <f>IFERROR(VLOOKUP(A43,'[1]LIC List'!$E$2:$R$112,14,FALSE),"n/a")</f>
        <v>-0.12193251533742333</v>
      </c>
      <c r="P43" s="179">
        <f>IFERROR(VLOOKUP(A43,[1]NAV!$B$3:$F$310,5,FALSE),"n/a")</f>
        <v>43251</v>
      </c>
      <c r="Q43" s="9"/>
      <c r="R43" s="180">
        <f>_xlfn.IFNA(VLOOKUP($A43,[1]IRESS!$A$11:$AE$696,6,FALSE)/100,"n/a")</f>
        <v>1.165</v>
      </c>
      <c r="S43" s="32">
        <f>_xlfn.IFNA(VLOOKUP($A43,[1]IRESS!$A$11:$AE$696,21,FALSE)/100,"n/a")</f>
        <v>1.2150000000000001</v>
      </c>
      <c r="T43" s="180">
        <f>_xlfn.IFNA(VLOOKUP($A43,[1]IRESS!$A$11:$AE$696,22,FALSE)/100,"n/a")</f>
        <v>0.90500000000000003</v>
      </c>
      <c r="V43" s="35">
        <f>IFERROR((VLOOKUP($A43,[1]IRESS!$A$11:$AE$696,20,FALSE)/100)/R43,"n/a")</f>
        <v>5.1502145922746781E-2</v>
      </c>
      <c r="W43" s="181">
        <f>IFERROR(VLOOKUP($A43,[1]Morningstar!$A$2:$F$477,3,FALSE),"n/a")</f>
        <v>1.7399999999999999E-2</v>
      </c>
      <c r="X43" s="35">
        <f>IFERROR(VLOOKUP($A43,[1]Morningstar!$A$2:$F$477,4,FALSE),"n/a")</f>
        <v>0.28420000000000001</v>
      </c>
      <c r="Y43" s="181">
        <f>IFERROR(VLOOKUP($A43,[1]Morningstar!$A$2:$F$477,5,FALSE),"n/a")</f>
        <v>0.1593</v>
      </c>
      <c r="Z43" s="35">
        <f>IFERROR(VLOOKUP($A43,[1]Morningstar!$A$2:$F$477,6,FALSE),"n/a")</f>
        <v>9.9299999999999999E-2</v>
      </c>
    </row>
    <row r="44" spans="1:26">
      <c r="A44" s="21" t="s">
        <v>542</v>
      </c>
      <c r="B44" s="174" t="s">
        <v>508</v>
      </c>
      <c r="C44" s="46" t="str">
        <f>VLOOKUP(A44,'[1]LIC List'!$A$2:$B$136,2,FALSE)</f>
        <v>WAM Leaders Limited</v>
      </c>
      <c r="D44" s="24"/>
      <c r="E44" s="9"/>
      <c r="F44" s="176">
        <f>_xlfn.IFNA(VLOOKUP(A44,'[1]LIC List'!$A$2:$I$136,6,FALSE),"n/a")</f>
        <v>1</v>
      </c>
      <c r="G44" s="26" t="str">
        <f>_xlfn.IFNA(VLOOKUP(A44,'[1]LIC List'!$A$2:$J$112,10,FALSE),"n/a")</f>
        <v>Yes</v>
      </c>
      <c r="H44" s="176">
        <f>_xlfn.IFNA(VLOOKUP(A44,'[1]LIC List'!$A$2:$J$145,8,FALSE)/1000000,"n/a")</f>
        <v>808.68424694999987</v>
      </c>
      <c r="I44" s="26">
        <f>_xlfn.IFNA(VLOOKUP(A44,'[1]LIC List'!$A$2:$N$136,14,FALSE)/1000000,"n/a")</f>
        <v>7.0320369299999479</v>
      </c>
      <c r="J44" s="177">
        <f>_xlfn.IFNA(VLOOKUP(A44,[1]IRESS!$A$10:$F$875,5,FALSE),"n/a")</f>
        <v>23653350.602500003</v>
      </c>
      <c r="K44" s="28">
        <f>_xlfn.IFNA(VLOOKUP(A44,[1]IRESS!$A$11:$G$772,7,FALSE),"n/a")</f>
        <v>20708426</v>
      </c>
      <c r="L44" s="177">
        <f>_xlfn.IFNA(VLOOKUP(A44,[1]IRESS!$A$10:$F$875,4,FALSE),"n/a")</f>
        <v>1829</v>
      </c>
      <c r="M44" s="29">
        <f t="shared" si="0"/>
        <v>2.5607554590191466E-2</v>
      </c>
      <c r="N44" s="104" t="e">
        <f>VLOOKUP(A44,[1]Spreads!$A$1:$G$87,7,FALSE)</f>
        <v>#N/A</v>
      </c>
      <c r="O44" s="178">
        <f>IFERROR(VLOOKUP(A44,'[1]LIC List'!$E$2:$R$112,14,FALSE),"n/a")</f>
        <v>-4.4934365533490284E-2</v>
      </c>
      <c r="P44" s="179">
        <f>IFERROR(VLOOKUP(A44,[1]NAV!$B$3:$F$310,5,FALSE),"n/a")</f>
        <v>43251</v>
      </c>
      <c r="Q44" s="9"/>
      <c r="R44" s="180">
        <f>_xlfn.IFNA(VLOOKUP($A44,[1]IRESS!$A$11:$AE$696,6,FALSE)/100,"n/a")</f>
        <v>1.1499999999999999</v>
      </c>
      <c r="S44" s="32">
        <f>_xlfn.IFNA(VLOOKUP($A44,[1]IRESS!$A$11:$AE$696,21,FALSE)/100,"n/a")</f>
        <v>1.21</v>
      </c>
      <c r="T44" s="180">
        <f>_xlfn.IFNA(VLOOKUP($A44,[1]IRESS!$A$11:$AE$696,22,FALSE)/100,"n/a")</f>
        <v>1.095</v>
      </c>
      <c r="V44" s="35">
        <f>IFERROR((VLOOKUP($A44,[1]IRESS!$A$11:$AE$696,20,FALSE)/100)/R44,"n/a")</f>
        <v>3.9130434782608699E-2</v>
      </c>
      <c r="W44" s="181">
        <f>IFERROR(VLOOKUP($A44,[1]Morningstar!$A$2:$F$477,3,FALSE),"n/a")</f>
        <v>8.6999999999999994E-3</v>
      </c>
      <c r="X44" s="35">
        <f>IFERROR(VLOOKUP($A44,[1]Morningstar!$A$2:$F$477,4,FALSE),"n/a")</f>
        <v>7.2900000000000006E-2</v>
      </c>
      <c r="Y44" s="181" t="str">
        <f>IFERROR(VLOOKUP($A44,[1]Morningstar!$A$2:$F$477,5,FALSE),"n/a")</f>
        <v>n/a</v>
      </c>
      <c r="Z44" s="35" t="str">
        <f>IFERROR(VLOOKUP($A44,[1]Morningstar!$A$2:$F$477,6,FALSE),"n/a")</f>
        <v>n/a</v>
      </c>
    </row>
    <row r="45" spans="1:26" s="167" customFormat="1">
      <c r="A45" s="173" t="s">
        <v>39</v>
      </c>
      <c r="B45" s="182"/>
      <c r="C45" s="182"/>
      <c r="D45" s="182"/>
      <c r="E45" s="9"/>
      <c r="F45" s="183"/>
      <c r="G45" s="183"/>
      <c r="H45" s="183"/>
      <c r="I45" s="183"/>
      <c r="J45" s="184"/>
      <c r="K45" s="184"/>
      <c r="L45" s="184"/>
      <c r="M45" s="185"/>
      <c r="N45" s="186"/>
      <c r="O45" s="187"/>
      <c r="P45" s="188"/>
      <c r="Q45" s="9"/>
      <c r="R45" s="189"/>
      <c r="S45" s="189"/>
      <c r="T45" s="189"/>
      <c r="U45" s="7"/>
      <c r="V45" s="190"/>
      <c r="W45" s="191"/>
      <c r="X45" s="191"/>
      <c r="Y45" s="191"/>
      <c r="Z45" s="182"/>
    </row>
    <row r="46" spans="1:26">
      <c r="A46" s="21" t="s">
        <v>543</v>
      </c>
      <c r="B46" s="174" t="s">
        <v>508</v>
      </c>
      <c r="C46" s="23" t="str">
        <f>VLOOKUP(A46,'[1]LIC List'!$A$2:$B$158,2,FALSE)</f>
        <v>8IP Emerging Companies Limited</v>
      </c>
      <c r="D46" s="175"/>
      <c r="E46" s="9"/>
      <c r="F46" s="176" t="str">
        <f>_xlfn.IFNA(VLOOKUP(A46,'[1]LIC List'!$A$2:$I$136,6,FALSE),"n/a")</f>
        <v>n/a</v>
      </c>
      <c r="G46" s="26" t="str">
        <f>_xlfn.IFNA(VLOOKUP(A46,'[1]LIC List'!$A$2:$J$112,10,FALSE),"n/a")</f>
        <v>n/a</v>
      </c>
      <c r="H46" s="176">
        <f>_xlfn.IFNA(VLOOKUP(A46,'[1]LIC List'!$A$2:$J$145,8,FALSE)/1000000,"n/a")</f>
        <v>38.146840440000005</v>
      </c>
      <c r="I46" s="26">
        <f>_xlfn.IFNA(VLOOKUP(A46,'[1]LIC List'!$A$2:$N$136,14,FALSE)/1000000,"n/a")</f>
        <v>1.230543240000002</v>
      </c>
      <c r="J46" s="177">
        <f>_xlfn.IFNA(VLOOKUP(A46,[1]IRESS!$A$10:$F$875,5,FALSE),"n/a")</f>
        <v>611729.2699999999</v>
      </c>
      <c r="K46" s="28">
        <f>_xlfn.IFNA(VLOOKUP(A46,[1]IRESS!$A$11:$G$772,7,FALSE),"n/a")</f>
        <v>650545</v>
      </c>
      <c r="L46" s="177">
        <f>_xlfn.IFNA(VLOOKUP(A46,[1]IRESS!$A$10:$F$875,4,FALSE),"n/a")</f>
        <v>81</v>
      </c>
      <c r="M46" s="29">
        <f t="shared" si="0"/>
        <v>1.70537059556275E-2</v>
      </c>
      <c r="N46" s="104" t="e">
        <f>VLOOKUP(A46,[1]Spreads!$A$1:$G$87,7,FALSE)</f>
        <v>#N/A</v>
      </c>
      <c r="O46" s="178">
        <f>IFERROR(VLOOKUP(A46,'[1]LIC List'!$E$2:$R$112,14,FALSE),"n/a")</f>
        <v>-0.13064594463331713</v>
      </c>
      <c r="P46" s="179">
        <f>IFERROR(VLOOKUP(A46,[1]NAV!$B$3:$F$310,5,FALSE),"n/a")</f>
        <v>43251</v>
      </c>
      <c r="Q46" s="9"/>
      <c r="R46" s="180">
        <f>_xlfn.IFNA(VLOOKUP($A46,[1]IRESS!$A$11:$AE$696,6,FALSE)/100,"n/a")</f>
        <v>0.93</v>
      </c>
      <c r="S46" s="32">
        <f>_xlfn.IFNA(VLOOKUP($A46,[1]IRESS!$A$11:$AE$696,21,FALSE)/100,"n/a")</f>
        <v>1.02</v>
      </c>
      <c r="T46" s="180">
        <f>_xlfn.IFNA(VLOOKUP($A46,[1]IRESS!$A$11:$AE$696,22,FALSE)/100,"n/a")</f>
        <v>0.86</v>
      </c>
      <c r="V46" s="35">
        <f>IFERROR((VLOOKUP($A46,[1]IRESS!$A$11:$AE$696,20,FALSE)/100)/R46,"n/a")</f>
        <v>3.2258064516129031E-2</v>
      </c>
      <c r="W46" s="181">
        <f>IFERROR(VLOOKUP($A46,[1]Morningstar!$A$2:$F$477,3,FALSE),"n/a")</f>
        <v>-1.0500000000000001E-2</v>
      </c>
      <c r="X46" s="35">
        <f>IFERROR(VLOOKUP($A46,[1]Morningstar!$A$2:$F$477,4,FALSE),"n/a")</f>
        <v>6.7699999999999996E-2</v>
      </c>
      <c r="Y46" s="181" t="str">
        <f>IFERROR(VLOOKUP($A46,[1]Morningstar!$A$2:$F$477,5,FALSE),"n/a")</f>
        <v>n/a</v>
      </c>
      <c r="Z46" s="35" t="str">
        <f>IFERROR(VLOOKUP($A46,[1]Morningstar!$A$2:$F$477,6,FALSE),"n/a")</f>
        <v>n/a</v>
      </c>
    </row>
    <row r="47" spans="1:26">
      <c r="A47" s="21" t="s">
        <v>544</v>
      </c>
      <c r="B47" s="174" t="s">
        <v>508</v>
      </c>
      <c r="C47" s="23" t="str">
        <f>VLOOKUP(A47,'[1]LIC List'!$A$2:$B$158,2,FALSE)</f>
        <v>Acorn Capital Investment Fund Limited</v>
      </c>
      <c r="D47" s="175"/>
      <c r="E47" s="9"/>
      <c r="F47" s="176" t="str">
        <f>_xlfn.IFNA(VLOOKUP(A47,'[1]LIC List'!$A$2:$I$136,6,FALSE),"n/a")</f>
        <v>n/a</v>
      </c>
      <c r="G47" s="26" t="str">
        <f>_xlfn.IFNA(VLOOKUP(A47,'[1]LIC List'!$A$2:$J$112,10,FALSE),"n/a")</f>
        <v>n/a</v>
      </c>
      <c r="H47" s="176">
        <f>_xlfn.IFNA(VLOOKUP(A47,'[1]LIC List'!$A$2:$J$145,8,FALSE)/1000000,"n/a")</f>
        <v>60.618119199999995</v>
      </c>
      <c r="I47" s="26">
        <f>_xlfn.IFNA(VLOOKUP(A47,'[1]LIC List'!$A$2:$N$136,14,FALSE)/1000000,"n/a")</f>
        <v>1.8448992799999937</v>
      </c>
      <c r="J47" s="177">
        <f>_xlfn.IFNA(VLOOKUP(A47,[1]IRESS!$A$10:$F$875,5,FALSE),"n/a")</f>
        <v>1496313.67</v>
      </c>
      <c r="K47" s="28">
        <f>_xlfn.IFNA(VLOOKUP(A47,[1]IRESS!$A$11:$G$772,7,FALSE),"n/a")</f>
        <v>1310940</v>
      </c>
      <c r="L47" s="177">
        <f>_xlfn.IFNA(VLOOKUP(A47,[1]IRESS!$A$10:$F$875,4,FALSE),"n/a")</f>
        <v>178</v>
      </c>
      <c r="M47" s="29">
        <f t="shared" si="0"/>
        <v>2.1626207102776625E-2</v>
      </c>
      <c r="N47" s="104" t="e">
        <f>VLOOKUP(A47,[1]Spreads!$A$1:$G$87,7,FALSE)</f>
        <v>#N/A</v>
      </c>
      <c r="O47" s="178">
        <f>IFERROR(VLOOKUP(A47,'[1]LIC List'!$E$2:$R$112,14,FALSE),"n/a")</f>
        <v>-0.18932674131161842</v>
      </c>
      <c r="P47" s="179">
        <f>IFERROR(VLOOKUP(A47,[1]NAV!$B$3:$F$310,5,FALSE),"n/a")</f>
        <v>43251</v>
      </c>
      <c r="Q47" s="9"/>
      <c r="R47" s="180">
        <f>_xlfn.IFNA(VLOOKUP($A47,[1]IRESS!$A$11:$AE$696,6,FALSE)/100,"n/a")</f>
        <v>1.1499999999999999</v>
      </c>
      <c r="S47" s="32">
        <f>_xlfn.IFNA(VLOOKUP($A47,[1]IRESS!$A$11:$AE$696,21,FALSE)/100,"n/a")</f>
        <v>1.2</v>
      </c>
      <c r="T47" s="180">
        <f>_xlfn.IFNA(VLOOKUP($A47,[1]IRESS!$A$11:$AE$696,22,FALSE)/100,"n/a")</f>
        <v>0.9</v>
      </c>
      <c r="V47" s="35">
        <f>IFERROR((VLOOKUP($A47,[1]IRESS!$A$11:$AE$696,20,FALSE)/100)/R47,"n/a")</f>
        <v>4.086956521739131E-2</v>
      </c>
      <c r="W47" s="181">
        <f>IFERROR(VLOOKUP($A47,[1]Morningstar!$A$2:$F$477,3,FALSE),"n/a")</f>
        <v>3.1300000000000001E-2</v>
      </c>
      <c r="X47" s="35">
        <f>IFERROR(VLOOKUP($A47,[1]Morningstar!$A$2:$F$477,4,FALSE),"n/a")</f>
        <v>0.30669999999999997</v>
      </c>
      <c r="Y47" s="181">
        <f>IFERROR(VLOOKUP($A47,[1]Morningstar!$A$2:$F$477,5,FALSE),"n/a")</f>
        <v>0.21010000000000001</v>
      </c>
      <c r="Z47" s="35" t="str">
        <f>IFERROR(VLOOKUP($A47,[1]Morningstar!$A$2:$F$477,6,FALSE),"n/a")</f>
        <v>n/a</v>
      </c>
    </row>
    <row r="48" spans="1:26">
      <c r="A48" s="21" t="s">
        <v>545</v>
      </c>
      <c r="B48" s="174" t="s">
        <v>508</v>
      </c>
      <c r="C48" s="46" t="str">
        <f>VLOOKUP(A48,'[1]LIC List'!$A$2:$B$136,2,FALSE)</f>
        <v>Bentley Capital Limited</v>
      </c>
      <c r="D48" s="24"/>
      <c r="E48" s="9"/>
      <c r="F48" s="176">
        <f>_xlfn.IFNA(VLOOKUP(A48,'[1]LIC List'!$A$2:$I$136,6,FALSE),"n/a")</f>
        <v>1</v>
      </c>
      <c r="G48" s="26" t="str">
        <f>_xlfn.IFNA(VLOOKUP(A48,'[1]LIC List'!$A$2:$J$112,10,FALSE),"n/a")</f>
        <v>Yes</v>
      </c>
      <c r="H48" s="176">
        <f>_xlfn.IFNA(VLOOKUP(A48,'[1]LIC List'!$A$2:$J$145,8,FALSE)/1000000,"n/a")</f>
        <v>7.2321522099999997</v>
      </c>
      <c r="I48" s="26">
        <f>_xlfn.IFNA(VLOOKUP(A48,'[1]LIC List'!$A$2:$N$136,14,FALSE)/1000000,"n/a")</f>
        <v>-1.5225583600000003</v>
      </c>
      <c r="J48" s="177">
        <f>_xlfn.IFNA(VLOOKUP(A48,[1]IRESS!$A$10:$F$875,5,FALSE),"n/a")</f>
        <v>118956.409</v>
      </c>
      <c r="K48" s="28">
        <f>_xlfn.IFNA(VLOOKUP(A48,[1]IRESS!$A$11:$G$772,7,FALSE),"n/a")</f>
        <v>1173470</v>
      </c>
      <c r="L48" s="177">
        <f>_xlfn.IFNA(VLOOKUP(A48,[1]IRESS!$A$10:$F$875,4,FALSE),"n/a")</f>
        <v>42</v>
      </c>
      <c r="M48" s="29">
        <f t="shared" si="0"/>
        <v>0.16225737041007326</v>
      </c>
      <c r="N48" s="104" t="e">
        <f>VLOOKUP(A48,[1]Spreads!$A$1:$G$87,7,FALSE)</f>
        <v>#N/A</v>
      </c>
      <c r="O48" s="178">
        <f>IFERROR(VLOOKUP(A48,'[1]LIC List'!$E$2:$R$112,14,FALSE),"n/a")</f>
        <v>-0.10921766072811778</v>
      </c>
      <c r="P48" s="179">
        <f>IFERROR(VLOOKUP(A48,[1]NAV!$B$3:$F$310,5,FALSE),"n/a")</f>
        <v>43251</v>
      </c>
      <c r="Q48" s="9"/>
      <c r="R48" s="180">
        <f>_xlfn.IFNA(VLOOKUP($A48,[1]IRESS!$A$11:$AE$696,6,FALSE)/100,"n/a")</f>
        <v>9.5000000000000001E-2</v>
      </c>
      <c r="S48" s="32">
        <f>_xlfn.IFNA(VLOOKUP($A48,[1]IRESS!$A$11:$AE$696,21,FALSE)/100,"n/a")</f>
        <v>0.13</v>
      </c>
      <c r="T48" s="180">
        <f>_xlfn.IFNA(VLOOKUP($A48,[1]IRESS!$A$11:$AE$696,22,FALSE)/100,"n/a")</f>
        <v>9.0999999999999998E-2</v>
      </c>
      <c r="V48" s="35">
        <f>IFERROR((VLOOKUP($A48,[1]IRESS!$A$11:$AE$696,20,FALSE)/100)/R48,"n/a")</f>
        <v>0.10526315789473684</v>
      </c>
      <c r="W48" s="181">
        <f>IFERROR(VLOOKUP($A48,[1]Morningstar!$A$2:$F$477,3,FALSE),"n/a")</f>
        <v>-0.17380000000000001</v>
      </c>
      <c r="X48" s="35">
        <f>IFERROR(VLOOKUP($A48,[1]Morningstar!$A$2:$F$477,4,FALSE),"n/a")</f>
        <v>3.6299999999999999E-2</v>
      </c>
      <c r="Y48" s="181">
        <f>IFERROR(VLOOKUP($A48,[1]Morningstar!$A$2:$F$477,5,FALSE),"n/a")</f>
        <v>-2.6200000000000001E-2</v>
      </c>
      <c r="Z48" s="35">
        <f>IFERROR(VLOOKUP($A48,[1]Morningstar!$A$2:$F$477,6,FALSE),"n/a")</f>
        <v>-3.8E-3</v>
      </c>
    </row>
    <row r="49" spans="1:26">
      <c r="A49" s="21" t="s">
        <v>546</v>
      </c>
      <c r="B49" s="174" t="s">
        <v>508</v>
      </c>
      <c r="C49" s="46" t="str">
        <f>VLOOKUP(A49,'[1]LIC List'!$A$2:$B$136,2,FALSE)</f>
        <v>Barrack St Investments Limited</v>
      </c>
      <c r="D49" s="24"/>
      <c r="E49" s="9"/>
      <c r="F49" s="176">
        <f>_xlfn.IFNA(VLOOKUP(A49,'[1]LIC List'!$A$2:$I$136,6,FALSE),"n/a")</f>
        <v>1</v>
      </c>
      <c r="G49" s="26" t="str">
        <f>_xlfn.IFNA(VLOOKUP(A49,'[1]LIC List'!$A$2:$J$112,10,FALSE),"n/a")</f>
        <v>Yes</v>
      </c>
      <c r="H49" s="176">
        <f>_xlfn.IFNA(VLOOKUP(A49,'[1]LIC List'!$A$2:$J$145,8,FALSE)/1000000,"n/a")</f>
        <v>18.043272354999999</v>
      </c>
      <c r="I49" s="26">
        <f>_xlfn.IFNA(VLOOKUP(A49,'[1]LIC List'!$A$2:$N$136,14,FALSE)/1000000,"n/a")</f>
        <v>1.5570336549999992</v>
      </c>
      <c r="J49" s="177">
        <f>_xlfn.IFNA(VLOOKUP(A49,[1]IRESS!$A$10:$F$875,5,FALSE),"n/a")</f>
        <v>349998.22000000003</v>
      </c>
      <c r="K49" s="28">
        <f>_xlfn.IFNA(VLOOKUP(A49,[1]IRESS!$A$11:$G$772,7,FALSE),"n/a")</f>
        <v>373347</v>
      </c>
      <c r="L49" s="177">
        <f>_xlfn.IFNA(VLOOKUP(A49,[1]IRESS!$A$10:$F$875,4,FALSE),"n/a")</f>
        <v>56</v>
      </c>
      <c r="M49" s="29">
        <f t="shared" si="0"/>
        <v>2.0691756609024482E-2</v>
      </c>
      <c r="N49" s="104" t="e">
        <f>VLOOKUP(A49,[1]Spreads!$A$1:$G$87,7,FALSE)</f>
        <v>#N/A</v>
      </c>
      <c r="O49" s="178">
        <f>IFERROR(VLOOKUP(A49,'[1]LIC List'!$E$2:$R$112,14,FALSE),"n/a")</f>
        <v>-0.22421142369991487</v>
      </c>
      <c r="P49" s="179">
        <f>IFERROR(VLOOKUP(A49,[1]NAV!$B$3:$F$310,5,FALSE),"n/a")</f>
        <v>43251</v>
      </c>
      <c r="Q49" s="9"/>
      <c r="R49" s="180">
        <f>_xlfn.IFNA(VLOOKUP($A49,[1]IRESS!$A$11:$AE$696,6,FALSE)/100,"n/a")</f>
        <v>0.98499999999999999</v>
      </c>
      <c r="S49" s="32">
        <f>_xlfn.IFNA(VLOOKUP($A49,[1]IRESS!$A$11:$AE$696,21,FALSE)/100,"n/a")</f>
        <v>1</v>
      </c>
      <c r="T49" s="180">
        <f>_xlfn.IFNA(VLOOKUP($A49,[1]IRESS!$A$11:$AE$696,22,FALSE)/100,"n/a")</f>
        <v>0.83</v>
      </c>
      <c r="V49" s="35">
        <f>IFERROR((VLOOKUP($A49,[1]IRESS!$A$11:$AE$696,20,FALSE)/100)/R49,"n/a")</f>
        <v>2.7918781725888325E-2</v>
      </c>
      <c r="W49" s="181">
        <f>IFERROR(VLOOKUP($A49,[1]Morningstar!$A$2:$F$477,3,FALSE),"n/a")</f>
        <v>7.0599999999999996E-2</v>
      </c>
      <c r="X49" s="35">
        <f>IFERROR(VLOOKUP($A49,[1]Morningstar!$A$2:$F$477,4,FALSE),"n/a")</f>
        <v>0.14810000000000001</v>
      </c>
      <c r="Y49" s="181">
        <f>IFERROR(VLOOKUP($A49,[1]Morningstar!$A$2:$F$477,5,FALSE),"n/a")</f>
        <v>9.8799999999999999E-2</v>
      </c>
      <c r="Z49" s="35" t="str">
        <f>IFERROR(VLOOKUP($A49,[1]Morningstar!$A$2:$F$477,6,FALSE),"n/a")</f>
        <v>n/a</v>
      </c>
    </row>
    <row r="50" spans="1:26">
      <c r="A50" s="21" t="s">
        <v>547</v>
      </c>
      <c r="B50" s="174" t="s">
        <v>508</v>
      </c>
      <c r="C50" s="46" t="str">
        <f>VLOOKUP(A50,'[1]LIC List'!$A$2:$B$136,2,FALSE)</f>
        <v>Bailador Technology Investments Limited</v>
      </c>
      <c r="D50" s="24"/>
      <c r="E50" s="9"/>
      <c r="F50" s="176">
        <f>_xlfn.IFNA(VLOOKUP(A50,'[1]LIC List'!$A$2:$I$136,6,FALSE),"n/a")</f>
        <v>1.75</v>
      </c>
      <c r="G50" s="26" t="str">
        <f>_xlfn.IFNA(VLOOKUP(A50,'[1]LIC List'!$A$2:$J$112,10,FALSE),"n/a")</f>
        <v>Yes</v>
      </c>
      <c r="H50" s="176">
        <f>_xlfn.IFNA(VLOOKUP(A50,'[1]LIC List'!$A$2:$J$145,8,FALSE)/1000000,"n/a")</f>
        <v>88.983394939999997</v>
      </c>
      <c r="I50" s="26">
        <f>_xlfn.IFNA(VLOOKUP(A50,'[1]LIC List'!$A$2:$N$136,14,FALSE)/1000000,"n/a")</f>
        <v>-5.4111523950000109</v>
      </c>
      <c r="J50" s="177">
        <f>_xlfn.IFNA(VLOOKUP(A50,[1]IRESS!$A$10:$F$875,5,FALSE),"n/a")</f>
        <v>1740078.2049999996</v>
      </c>
      <c r="K50" s="28">
        <f>_xlfn.IFNA(VLOOKUP(A50,[1]IRESS!$A$11:$G$772,7,FALSE),"n/a")</f>
        <v>2279485</v>
      </c>
      <c r="L50" s="177">
        <f>_xlfn.IFNA(VLOOKUP(A50,[1]IRESS!$A$10:$F$875,4,FALSE),"n/a")</f>
        <v>372</v>
      </c>
      <c r="M50" s="29">
        <f t="shared" si="0"/>
        <v>2.5616970464399771E-2</v>
      </c>
      <c r="N50" s="104" t="e">
        <f>VLOOKUP(A50,[1]Spreads!$A$1:$G$87,7,FALSE)</f>
        <v>#N/A</v>
      </c>
      <c r="O50" s="178">
        <f>IFERROR(VLOOKUP(A50,'[1]LIC List'!$E$2:$R$112,14,FALSE),"n/a")</f>
        <v>-0.26168224299065423</v>
      </c>
      <c r="P50" s="179">
        <f>IFERROR(VLOOKUP(A50,[1]NAV!$B$3:$F$310,5,FALSE),"n/a")</f>
        <v>43251</v>
      </c>
      <c r="Q50" s="9"/>
      <c r="R50" s="180">
        <f>_xlfn.IFNA(VLOOKUP($A50,[1]IRESS!$A$11:$AE$696,6,FALSE)/100,"n/a")</f>
        <v>0.74</v>
      </c>
      <c r="S50" s="32">
        <f>_xlfn.IFNA(VLOOKUP($A50,[1]IRESS!$A$11:$AE$696,21,FALSE)/100,"n/a")</f>
        <v>0.98</v>
      </c>
      <c r="T50" s="180">
        <f>_xlfn.IFNA(VLOOKUP($A50,[1]IRESS!$A$11:$AE$696,22,FALSE)/100,"n/a")</f>
        <v>0.74</v>
      </c>
      <c r="V50" s="35">
        <f>IFERROR((VLOOKUP($A50,[1]IRESS!$A$11:$AE$696,20,FALSE)/100)/R50,"n/a")</f>
        <v>0</v>
      </c>
      <c r="W50" s="181">
        <f>IFERROR(VLOOKUP($A50,[1]Morningstar!$A$2:$F$477,3,FALSE),"n/a")</f>
        <v>-5.7299999999999997E-2</v>
      </c>
      <c r="X50" s="35">
        <f>IFERROR(VLOOKUP($A50,[1]Morningstar!$A$2:$F$477,4,FALSE),"n/a")</f>
        <v>-0.1779</v>
      </c>
      <c r="Y50" s="181">
        <f>IFERROR(VLOOKUP($A50,[1]Morningstar!$A$2:$F$477,5,FALSE),"n/a")</f>
        <v>-6.6600000000000006E-2</v>
      </c>
      <c r="Z50" s="35" t="str">
        <f>IFERROR(VLOOKUP($A50,[1]Morningstar!$A$2:$F$477,6,FALSE),"n/a")</f>
        <v>n/a</v>
      </c>
    </row>
    <row r="51" spans="1:26">
      <c r="A51" s="21" t="s">
        <v>548</v>
      </c>
      <c r="B51" s="174" t="s">
        <v>508</v>
      </c>
      <c r="C51" s="46" t="str">
        <f>VLOOKUP(A51,'[1]LIC List'!$A$2:$B$136,2,FALSE)</f>
        <v>CMI Limited</v>
      </c>
      <c r="D51" s="24"/>
      <c r="E51" s="9"/>
      <c r="F51" s="176" t="str">
        <f>_xlfn.IFNA(VLOOKUP(A51,'[1]LIC List'!$A$2:$I$136,6,FALSE),"n/a")</f>
        <v>n/a</v>
      </c>
      <c r="G51" s="26" t="str">
        <f>_xlfn.IFNA(VLOOKUP(A51,'[1]LIC List'!$A$2:$J$112,10,FALSE),"n/a")</f>
        <v>n/a</v>
      </c>
      <c r="H51" s="176">
        <f>_xlfn.IFNA(VLOOKUP(A51,'[1]LIC List'!$A$2:$J$145,8,FALSE)/1000000,"n/a")</f>
        <v>42.816461414999999</v>
      </c>
      <c r="I51" s="26">
        <f>_xlfn.IFNA(VLOOKUP(A51,'[1]LIC List'!$A$2:$N$136,14,FALSE)/1000000,"n/a")</f>
        <v>-0.4705105649999976</v>
      </c>
      <c r="J51" s="177">
        <f>_xlfn.IFNA(VLOOKUP(A51,[1]IRESS!$A$10:$F$875,5,FALSE),"n/a")</f>
        <v>208581.785</v>
      </c>
      <c r="K51" s="28">
        <f>_xlfn.IFNA(VLOOKUP(A51,[1]IRESS!$A$11:$G$772,7,FALSE),"n/a")</f>
        <v>150855</v>
      </c>
      <c r="L51" s="177">
        <f>_xlfn.IFNA(VLOOKUP(A51,[1]IRESS!$A$10:$F$875,4,FALSE),"n/a")</f>
        <v>49</v>
      </c>
      <c r="M51" s="29">
        <f t="shared" si="0"/>
        <v>3.5232944296314638E-3</v>
      </c>
      <c r="N51" s="104" t="e">
        <f>VLOOKUP(A51,[1]Spreads!$A$1:$G$87,7,FALSE)</f>
        <v>#N/A</v>
      </c>
      <c r="O51" s="178">
        <f>IFERROR(VLOOKUP(A51,'[1]LIC List'!$E$2:$R$112,14,FALSE),"n/a")</f>
        <v>0.11656441717791433</v>
      </c>
      <c r="P51" s="179">
        <f>IFERROR(VLOOKUP(A51,[1]NAV!$B$3:$F$310,5,FALSE),"n/a")</f>
        <v>43251</v>
      </c>
      <c r="Q51" s="9"/>
      <c r="R51" s="180">
        <f>_xlfn.IFNA(VLOOKUP($A51,[1]IRESS!$A$11:$AE$696,6,FALSE)/100,"n/a")</f>
        <v>1.365</v>
      </c>
      <c r="S51" s="32">
        <f>_xlfn.IFNA(VLOOKUP($A51,[1]IRESS!$A$11:$AE$696,21,FALSE)/100,"n/a")</f>
        <v>1.5</v>
      </c>
      <c r="T51" s="180">
        <f>_xlfn.IFNA(VLOOKUP($A51,[1]IRESS!$A$11:$AE$696,22,FALSE)/100,"n/a")</f>
        <v>1.02</v>
      </c>
      <c r="V51" s="35">
        <f>IFERROR((VLOOKUP($A51,[1]IRESS!$A$11:$AE$696,20,FALSE)/100)/R51,"n/a")</f>
        <v>4.3956043956043953E-2</v>
      </c>
      <c r="W51" s="181">
        <f>IFERROR(VLOOKUP($A51,[1]Morningstar!$A$2:$F$477,3,FALSE),"n/a")</f>
        <v>0</v>
      </c>
      <c r="X51" s="35">
        <f>IFERROR(VLOOKUP($A51,[1]Morningstar!$A$2:$F$477,4,FALSE),"n/a")</f>
        <v>0.38819999999999999</v>
      </c>
      <c r="Y51" s="181">
        <f>IFERROR(VLOOKUP($A51,[1]Morningstar!$A$2:$F$477,5,FALSE),"n/a")</f>
        <v>5.4999999999999997E-3</v>
      </c>
      <c r="Z51" s="35">
        <f>IFERROR(VLOOKUP($A51,[1]Morningstar!$A$2:$F$477,6,FALSE),"n/a")</f>
        <v>4.5699999999999998E-2</v>
      </c>
    </row>
    <row r="52" spans="1:26">
      <c r="A52" s="21" t="s">
        <v>549</v>
      </c>
      <c r="B52" s="174" t="s">
        <v>508</v>
      </c>
      <c r="C52" s="46" t="str">
        <f>VLOOKUP(A52,'[1]LIC List'!$A$2:$B$136,2,FALSE)</f>
        <v>Glennon Small Companies Limited</v>
      </c>
      <c r="D52" s="24"/>
      <c r="E52" s="9"/>
      <c r="F52" s="176">
        <f>_xlfn.IFNA(VLOOKUP(A52,'[1]LIC List'!$A$2:$I$136,6,FALSE),"n/a")</f>
        <v>1</v>
      </c>
      <c r="G52" s="26" t="str">
        <f>_xlfn.IFNA(VLOOKUP(A52,'[1]LIC List'!$A$2:$J$112,10,FALSE),"n/a")</f>
        <v>Yes</v>
      </c>
      <c r="H52" s="176">
        <f>_xlfn.IFNA(VLOOKUP(A52,'[1]LIC List'!$A$2:$J$145,8,FALSE)/1000000,"n/a")</f>
        <v>47.589548999999998</v>
      </c>
      <c r="I52" s="26">
        <f>_xlfn.IFNA(VLOOKUP(A52,'[1]LIC List'!$A$2:$N$136,14,FALSE)/1000000,"n/a")</f>
        <v>1.6656342150000036</v>
      </c>
      <c r="J52" s="177">
        <f>_xlfn.IFNA(VLOOKUP(A52,[1]IRESS!$A$10:$F$875,5,FALSE),"n/a")</f>
        <v>990255.50000000012</v>
      </c>
      <c r="K52" s="28">
        <f>_xlfn.IFNA(VLOOKUP(A52,[1]IRESS!$A$11:$G$772,7,FALSE),"n/a")</f>
        <v>1004297</v>
      </c>
      <c r="L52" s="177">
        <f>_xlfn.IFNA(VLOOKUP(A52,[1]IRESS!$A$10:$F$875,4,FALSE),"n/a")</f>
        <v>319</v>
      </c>
      <c r="M52" s="29">
        <f t="shared" si="0"/>
        <v>2.1103309888479926E-2</v>
      </c>
      <c r="N52" s="104" t="e">
        <f>VLOOKUP(A52,[1]Spreads!$A$1:$G$87,7,FALSE)</f>
        <v>#N/A</v>
      </c>
      <c r="O52" s="178">
        <f>IFERROR(VLOOKUP(A52,'[1]LIC List'!$E$2:$R$112,14,FALSE),"n/a")</f>
        <v>-0.18907563025210083</v>
      </c>
      <c r="P52" s="179">
        <f>IFERROR(VLOOKUP(A52,[1]NAV!$B$3:$F$310,5,FALSE),"n/a")</f>
        <v>43251</v>
      </c>
      <c r="Q52" s="9"/>
      <c r="R52" s="180">
        <f>_xlfn.IFNA(VLOOKUP($A52,[1]IRESS!$A$11:$AE$696,6,FALSE)/100,"n/a")</f>
        <v>1</v>
      </c>
      <c r="S52" s="32">
        <f>_xlfn.IFNA(VLOOKUP($A52,[1]IRESS!$A$11:$AE$696,21,FALSE)/100,"n/a")</f>
        <v>1.03</v>
      </c>
      <c r="T52" s="180">
        <f>_xlfn.IFNA(VLOOKUP($A52,[1]IRESS!$A$11:$AE$696,22,FALSE)/100,"n/a")</f>
        <v>0.86</v>
      </c>
      <c r="V52" s="35">
        <f>IFERROR((VLOOKUP($A52,[1]IRESS!$A$11:$AE$696,20,FALSE)/100)/R52,"n/a")</f>
        <v>0.04</v>
      </c>
      <c r="W52" s="181">
        <f>IFERROR(VLOOKUP($A52,[1]Morningstar!$A$2:$F$477,3,FALSE),"n/a")</f>
        <v>4.7E-2</v>
      </c>
      <c r="X52" s="35">
        <f>IFERROR(VLOOKUP($A52,[1]Morningstar!$A$2:$F$477,4,FALSE),"n/a")</f>
        <v>0.16120000000000001</v>
      </c>
      <c r="Y52" s="181" t="str">
        <f>IFERROR(VLOOKUP($A52,[1]Morningstar!$A$2:$F$477,5,FALSE),"n/a")</f>
        <v>n/a</v>
      </c>
      <c r="Z52" s="35" t="str">
        <f>IFERROR(VLOOKUP($A52,[1]Morningstar!$A$2:$F$477,6,FALSE),"n/a")</f>
        <v>n/a</v>
      </c>
    </row>
    <row r="53" spans="1:26">
      <c r="A53" s="21" t="s">
        <v>550</v>
      </c>
      <c r="B53" s="174" t="s">
        <v>508</v>
      </c>
      <c r="C53" s="46" t="str">
        <f>VLOOKUP(A53,'[1]LIC List'!$A$2:$B$136,2,FALSE)</f>
        <v>NAOS Absolute Opportunities Company Limited</v>
      </c>
      <c r="D53" s="24"/>
      <c r="E53" s="9"/>
      <c r="F53" s="176">
        <f>_xlfn.IFNA(VLOOKUP(A53,'[1]LIC List'!$A$2:$I$136,6,FALSE),"n/a")</f>
        <v>1.75</v>
      </c>
      <c r="G53" s="26" t="str">
        <f>_xlfn.IFNA(VLOOKUP(A53,'[1]LIC List'!$A$2:$J$112,10,FALSE),"n/a")</f>
        <v>Yes</v>
      </c>
      <c r="H53" s="176">
        <f>_xlfn.IFNA(VLOOKUP(A53,'[1]LIC List'!$A$2:$J$145,8,FALSE)/1000000,"n/a")</f>
        <v>50.172728995</v>
      </c>
      <c r="I53" s="26">
        <f>_xlfn.IFNA(VLOOKUP(A53,'[1]LIC List'!$A$2:$N$136,14,FALSE)/1000000,"n/a")</f>
        <v>-1.838791115000002</v>
      </c>
      <c r="J53" s="177">
        <f>_xlfn.IFNA(VLOOKUP(A53,[1]IRESS!$A$10:$F$875,5,FALSE),"n/a")</f>
        <v>1008549.63</v>
      </c>
      <c r="K53" s="28">
        <f>_xlfn.IFNA(VLOOKUP(A53,[1]IRESS!$A$11:$G$772,7,FALSE),"n/a")</f>
        <v>1027062</v>
      </c>
      <c r="L53" s="177">
        <f>_xlfn.IFNA(VLOOKUP(A53,[1]IRESS!$A$10:$F$875,4,FALSE),"n/a")</f>
        <v>131</v>
      </c>
      <c r="M53" s="29">
        <f t="shared" si="0"/>
        <v>2.0470522942898972E-2</v>
      </c>
      <c r="N53" s="104" t="e">
        <f>VLOOKUP(A53,[1]Spreads!$A$1:$G$87,7,FALSE)</f>
        <v>#N/A</v>
      </c>
      <c r="O53" s="178">
        <f>IFERROR(VLOOKUP(A53,'[1]LIC List'!$E$2:$R$112,14,FALSE),"n/a")</f>
        <v>-0.10810810810810823</v>
      </c>
      <c r="P53" s="179">
        <f>IFERROR(VLOOKUP(A53,[1]NAV!$B$3:$F$310,5,FALSE),"n/a")</f>
        <v>43251</v>
      </c>
      <c r="Q53" s="9"/>
      <c r="R53" s="180">
        <f>_xlfn.IFNA(VLOOKUP($A53,[1]IRESS!$A$11:$AE$696,6,FALSE)/100,"n/a")</f>
        <v>0.95499999999999996</v>
      </c>
      <c r="S53" s="32">
        <f>_xlfn.IFNA(VLOOKUP($A53,[1]IRESS!$A$11:$AE$696,21,FALSE)/100,"n/a")</f>
        <v>1.075</v>
      </c>
      <c r="T53" s="180">
        <f>_xlfn.IFNA(VLOOKUP($A53,[1]IRESS!$A$11:$AE$696,22,FALSE)/100,"n/a")</f>
        <v>0.94</v>
      </c>
      <c r="V53" s="35">
        <f>IFERROR((VLOOKUP($A53,[1]IRESS!$A$11:$AE$696,20,FALSE)/100)/R53,"n/a")</f>
        <v>5.4973821989528798E-2</v>
      </c>
      <c r="W53" s="181">
        <f>IFERROR(VLOOKUP($A53,[1]Morningstar!$A$2:$F$477,3,FALSE),"n/a")</f>
        <v>-4.02E-2</v>
      </c>
      <c r="X53" s="35">
        <f>IFERROR(VLOOKUP($A53,[1]Morningstar!$A$2:$F$477,4,FALSE),"n/a")</f>
        <v>-2.8199999999999999E-2</v>
      </c>
      <c r="Y53" s="181">
        <f>IFERROR(VLOOKUP($A53,[1]Morningstar!$A$2:$F$477,5,FALSE),"n/a")</f>
        <v>6.4100000000000004E-2</v>
      </c>
      <c r="Z53" s="35" t="str">
        <f>IFERROR(VLOOKUP($A53,[1]Morningstar!$A$2:$F$477,6,FALSE),"n/a")</f>
        <v>n/a</v>
      </c>
    </row>
    <row r="54" spans="1:26">
      <c r="A54" s="21" t="s">
        <v>551</v>
      </c>
      <c r="B54" s="174" t="s">
        <v>508</v>
      </c>
      <c r="C54" s="46" t="str">
        <f>VLOOKUP(A54,'[1]LIC List'!$A$2:$B$136,2,FALSE)</f>
        <v>NAOS Emerging Opportunities Company Limited</v>
      </c>
      <c r="D54" s="24"/>
      <c r="E54" s="9"/>
      <c r="F54" s="176">
        <f>_xlfn.IFNA(VLOOKUP(A54,'[1]LIC List'!$A$2:$I$136,6,FALSE),"n/a")</f>
        <v>1.25</v>
      </c>
      <c r="G54" s="26" t="str">
        <f>_xlfn.IFNA(VLOOKUP(A54,'[1]LIC List'!$A$2:$J$112,10,FALSE),"n/a")</f>
        <v>Yes</v>
      </c>
      <c r="H54" s="176">
        <f>_xlfn.IFNA(VLOOKUP(A54,'[1]LIC List'!$A$2:$J$145,8,FALSE)/1000000,"n/a")</f>
        <v>74.890320309999993</v>
      </c>
      <c r="I54" s="26">
        <f>_xlfn.IFNA(VLOOKUP(A54,'[1]LIC List'!$A$2:$N$136,14,FALSE)/1000000,"n/a")</f>
        <v>2.9836780999999792</v>
      </c>
      <c r="J54" s="177">
        <f>_xlfn.IFNA(VLOOKUP(A54,[1]IRESS!$A$10:$F$875,5,FALSE),"n/a")</f>
        <v>1053507.74</v>
      </c>
      <c r="K54" s="28">
        <f>_xlfn.IFNA(VLOOKUP(A54,[1]IRESS!$A$11:$G$772,7,FALSE),"n/a")</f>
        <v>856138</v>
      </c>
      <c r="L54" s="177">
        <f>_xlfn.IFNA(VLOOKUP(A54,[1]IRESS!$A$10:$F$875,4,FALSE),"n/a")</f>
        <v>185</v>
      </c>
      <c r="M54" s="29">
        <f t="shared" si="0"/>
        <v>1.1431891283895086E-2</v>
      </c>
      <c r="N54" s="104" t="e">
        <f>VLOOKUP(A54,[1]Spreads!$A$1:$G$87,7,FALSE)</f>
        <v>#N/A</v>
      </c>
      <c r="O54" s="178">
        <f>IFERROR(VLOOKUP(A54,'[1]LIC List'!$E$2:$R$112,14,FALSE),"n/a")</f>
        <v>-2.34375E-2</v>
      </c>
      <c r="P54" s="179">
        <f>IFERROR(VLOOKUP(A54,[1]NAV!$B$3:$F$310,5,FALSE),"n/a")</f>
        <v>43251</v>
      </c>
      <c r="Q54" s="9"/>
      <c r="R54" s="180">
        <f>_xlfn.IFNA(VLOOKUP($A54,[1]IRESS!$A$11:$AE$696,6,FALSE)/100,"n/a")</f>
        <v>1.2549999999999999</v>
      </c>
      <c r="S54" s="32">
        <f>_xlfn.IFNA(VLOOKUP($A54,[1]IRESS!$A$11:$AE$696,21,FALSE)/100,"n/a")</f>
        <v>1.54</v>
      </c>
      <c r="T54" s="180">
        <f>_xlfn.IFNA(VLOOKUP($A54,[1]IRESS!$A$11:$AE$696,22,FALSE)/100,"n/a")</f>
        <v>1.2</v>
      </c>
      <c r="V54" s="35">
        <f>IFERROR((VLOOKUP($A54,[1]IRESS!$A$11:$AE$696,20,FALSE)/100)/R54,"n/a")</f>
        <v>5.7768924302788849E-2</v>
      </c>
      <c r="W54" s="181">
        <f>IFERROR(VLOOKUP($A54,[1]Morningstar!$A$2:$F$477,3,FALSE),"n/a")</f>
        <v>4.1000000000000003E-3</v>
      </c>
      <c r="X54" s="35">
        <f>IFERROR(VLOOKUP($A54,[1]Morningstar!$A$2:$F$477,4,FALSE),"n/a")</f>
        <v>-6.0000000000000001E-3</v>
      </c>
      <c r="Y54" s="181">
        <f>IFERROR(VLOOKUP($A54,[1]Morningstar!$A$2:$F$477,5,FALSE),"n/a")</f>
        <v>0.14069999999999999</v>
      </c>
      <c r="Z54" s="35">
        <f>IFERROR(VLOOKUP($A54,[1]Morningstar!$A$2:$F$477,6,FALSE),"n/a")</f>
        <v>0.1111</v>
      </c>
    </row>
    <row r="55" spans="1:26">
      <c r="A55" s="21" t="s">
        <v>552</v>
      </c>
      <c r="B55" s="174" t="s">
        <v>508</v>
      </c>
      <c r="C55" s="46" t="str">
        <f>VLOOKUP(A55,'[1]LIC List'!$A$2:$B$136,2,FALSE)</f>
        <v>NAOS Small Cap Opportunities Company Limited</v>
      </c>
      <c r="D55" s="24"/>
      <c r="E55" s="9"/>
      <c r="F55" s="176">
        <f>_xlfn.IFNA(VLOOKUP(A55,'[1]LIC List'!$A$2:$I$136,6,FALSE),"n/a")</f>
        <v>1.25</v>
      </c>
      <c r="G55" s="26" t="str">
        <f>_xlfn.IFNA(VLOOKUP(A55,'[1]LIC List'!$A$2:$J$112,10,FALSE),"n/a")</f>
        <v>Yes</v>
      </c>
      <c r="H55" s="176">
        <f>_xlfn.IFNA(VLOOKUP(A55,'[1]LIC List'!$A$2:$J$145,8,FALSE)/1000000,"n/a")</f>
        <v>129.28179159000001</v>
      </c>
      <c r="I55" s="26">
        <f>_xlfn.IFNA(VLOOKUP(A55,'[1]LIC List'!$A$2:$N$136,14,FALSE)/1000000,"n/a")</f>
        <v>-3.3799161200000047</v>
      </c>
      <c r="J55" s="177">
        <f>_xlfn.IFNA(VLOOKUP(A55,[1]IRESS!$A$10:$F$875,5,FALSE),"n/a")</f>
        <v>3746491.855</v>
      </c>
      <c r="K55" s="28">
        <f>_xlfn.IFNA(VLOOKUP(A55,[1]IRESS!$A$11:$G$772,7,FALSE),"n/a")</f>
        <v>4833342</v>
      </c>
      <c r="L55" s="177">
        <f>_xlfn.IFNA(VLOOKUP(A55,[1]IRESS!$A$10:$F$875,4,FALSE),"n/a")</f>
        <v>614</v>
      </c>
      <c r="M55" s="29">
        <f t="shared" si="0"/>
        <v>3.7386100088466441E-2</v>
      </c>
      <c r="N55" s="104" t="e">
        <f>VLOOKUP(A55,[1]Spreads!$A$1:$G$87,7,FALSE)</f>
        <v>#N/A</v>
      </c>
      <c r="O55" s="178">
        <f>IFERROR(VLOOKUP(A55,'[1]LIC List'!$E$2:$R$112,14,FALSE),"n/a")</f>
        <v>-0.15957446808510634</v>
      </c>
      <c r="P55" s="179">
        <f>IFERROR(VLOOKUP(A55,[1]NAV!$B$3:$F$310,5,FALSE),"n/a")</f>
        <v>43251</v>
      </c>
      <c r="Q55" s="9"/>
      <c r="R55" s="180">
        <f>_xlfn.IFNA(VLOOKUP($A55,[1]IRESS!$A$11:$AE$696,6,FALSE)/100,"n/a")</f>
        <v>0.76500000000000001</v>
      </c>
      <c r="S55" s="32">
        <f>_xlfn.IFNA(VLOOKUP($A55,[1]IRESS!$A$11:$AE$696,21,FALSE)/100,"n/a")</f>
        <v>0.97499999999999998</v>
      </c>
      <c r="T55" s="180">
        <f>_xlfn.IFNA(VLOOKUP($A55,[1]IRESS!$A$11:$AE$696,22,FALSE)/100,"n/a")</f>
        <v>0.755</v>
      </c>
      <c r="V55" s="35">
        <f>IFERROR((VLOOKUP($A55,[1]IRESS!$A$11:$AE$696,20,FALSE)/100)/R55,"n/a")</f>
        <v>8.3660130718954243E-2</v>
      </c>
      <c r="W55" s="181">
        <f>IFERROR(VLOOKUP($A55,[1]Morningstar!$A$2:$F$477,3,FALSE),"n/a")</f>
        <v>-4.9700000000000001E-2</v>
      </c>
      <c r="X55" s="35">
        <f>IFERROR(VLOOKUP($A55,[1]Morningstar!$A$2:$F$477,4,FALSE),"n/a")</f>
        <v>-8.7800000000000003E-2</v>
      </c>
      <c r="Y55" s="181">
        <f>IFERROR(VLOOKUP($A55,[1]Morningstar!$A$2:$F$477,5,FALSE),"n/a")</f>
        <v>-4.6300000000000001E-2</v>
      </c>
      <c r="Z55" s="35">
        <f>IFERROR(VLOOKUP($A55,[1]Morningstar!$A$2:$F$477,6,FALSE),"n/a")</f>
        <v>2.1600000000000001E-2</v>
      </c>
    </row>
    <row r="56" spans="1:26">
      <c r="A56" s="21" t="s">
        <v>553</v>
      </c>
      <c r="B56" s="174" t="s">
        <v>508</v>
      </c>
      <c r="C56" s="46" t="str">
        <f>VLOOKUP(A56,'[1]LIC List'!$A$2:$B$136,2,FALSE)</f>
        <v>Ozgrowth Limited</v>
      </c>
      <c r="D56" s="24"/>
      <c r="E56" s="9"/>
      <c r="F56" s="176">
        <f>_xlfn.IFNA(VLOOKUP(A56,'[1]LIC List'!$A$2:$I$136,6,FALSE),"n/a")</f>
        <v>1</v>
      </c>
      <c r="G56" s="26" t="str">
        <f>_xlfn.IFNA(VLOOKUP(A56,'[1]LIC List'!$A$2:$J$112,10,FALSE),"n/a")</f>
        <v>Yes</v>
      </c>
      <c r="H56" s="176">
        <f>_xlfn.IFNA(VLOOKUP(A56,'[1]LIC List'!$A$2:$J$145,8,FALSE)/1000000,"n/a")</f>
        <v>64.191429900000003</v>
      </c>
      <c r="I56" s="26">
        <f>_xlfn.IFNA(VLOOKUP(A56,'[1]LIC List'!$A$2:$N$136,14,FALSE)/1000000,"n/a")</f>
        <v>1.9799999999999999E-4</v>
      </c>
      <c r="J56" s="177">
        <f>_xlfn.IFNA(VLOOKUP(A56,[1]IRESS!$A$10:$F$875,5,FALSE),"n/a")</f>
        <v>447177.14</v>
      </c>
      <c r="K56" s="28">
        <f>_xlfn.IFNA(VLOOKUP(A56,[1]IRESS!$A$11:$G$772,7,FALSE),"n/a")</f>
        <v>2486944</v>
      </c>
      <c r="L56" s="177">
        <f>_xlfn.IFNA(VLOOKUP(A56,[1]IRESS!$A$10:$F$875,4,FALSE),"n/a")</f>
        <v>43</v>
      </c>
      <c r="M56" s="29">
        <f t="shared" si="0"/>
        <v>3.8742617260189738E-2</v>
      </c>
      <c r="N56" s="104" t="e">
        <f>VLOOKUP(A56,[1]Spreads!$A$1:$G$87,7,FALSE)</f>
        <v>#N/A</v>
      </c>
      <c r="O56" s="178">
        <f>IFERROR(VLOOKUP(A56,'[1]LIC List'!$E$2:$R$112,14,FALSE),"n/a")</f>
        <v>-0.19565217391304346</v>
      </c>
      <c r="P56" s="179">
        <f>IFERROR(VLOOKUP(A56,[1]NAV!$B$3:$F$310,5,FALSE),"n/a")</f>
        <v>43251</v>
      </c>
      <c r="Q56" s="9"/>
      <c r="R56" s="180">
        <f>_xlfn.IFNA(VLOOKUP($A56,[1]IRESS!$A$11:$AE$696,6,FALSE)/100,"n/a")</f>
        <v>0.18</v>
      </c>
      <c r="S56" s="32">
        <f>_xlfn.IFNA(VLOOKUP($A56,[1]IRESS!$A$11:$AE$696,21,FALSE)/100,"n/a")</f>
        <v>0.19</v>
      </c>
      <c r="T56" s="180">
        <f>_xlfn.IFNA(VLOOKUP($A56,[1]IRESS!$A$11:$AE$696,22,FALSE)/100,"n/a")</f>
        <v>0.15</v>
      </c>
      <c r="V56" s="35">
        <f>IFERROR((VLOOKUP($A56,[1]IRESS!$A$11:$AE$696,20,FALSE)/100)/R56,"n/a")</f>
        <v>2.777777777777778E-2</v>
      </c>
      <c r="W56" s="181">
        <f>IFERROR(VLOOKUP($A56,[1]Morningstar!$A$2:$F$477,3,FALSE),"n/a")</f>
        <v>-2.7E-2</v>
      </c>
      <c r="X56" s="35">
        <f>IFERROR(VLOOKUP($A56,[1]Morningstar!$A$2:$F$477,4,FALSE),"n/a")</f>
        <v>0.1585</v>
      </c>
      <c r="Y56" s="181">
        <f>IFERROR(VLOOKUP($A56,[1]Morningstar!$A$2:$F$477,5,FALSE),"n/a")</f>
        <v>8.8200000000000001E-2</v>
      </c>
      <c r="Z56" s="35">
        <f>IFERROR(VLOOKUP($A56,[1]Morningstar!$A$2:$F$477,6,FALSE),"n/a")</f>
        <v>8.3099999999999993E-2</v>
      </c>
    </row>
    <row r="57" spans="1:26">
      <c r="A57" s="21" t="s">
        <v>554</v>
      </c>
      <c r="B57" s="174" t="s">
        <v>508</v>
      </c>
      <c r="C57" s="46" t="str">
        <f>VLOOKUP(A57,'[1]LIC List'!$A$2:$B$136,2,FALSE)</f>
        <v>QV Equities Limited</v>
      </c>
      <c r="D57" s="24"/>
      <c r="E57" s="9"/>
      <c r="F57" s="176" t="str">
        <f>_xlfn.IFNA(VLOOKUP(A57,'[1]LIC List'!$A$2:$I$136,6,FALSE),"n/a")</f>
        <v>n/a</v>
      </c>
      <c r="G57" s="26" t="str">
        <f>_xlfn.IFNA(VLOOKUP(A57,'[1]LIC List'!$A$2:$J$112,10,FALSE),"n/a")</f>
        <v>No</v>
      </c>
      <c r="H57" s="176">
        <f>_xlfn.IFNA(VLOOKUP(A57,'[1]LIC List'!$A$2:$J$145,8,FALSE)/1000000,"n/a")</f>
        <v>316.86702904999993</v>
      </c>
      <c r="I57" s="26">
        <f>_xlfn.IFNA(VLOOKUP(A57,'[1]LIC List'!$A$2:$N$136,14,FALSE)/1000000,"n/a")</f>
        <v>6.8884136749999527</v>
      </c>
      <c r="J57" s="177">
        <f>_xlfn.IFNA(VLOOKUP(A57,[1]IRESS!$A$10:$F$875,5,FALSE),"n/a")</f>
        <v>5123057.7799999993</v>
      </c>
      <c r="K57" s="28">
        <f>_xlfn.IFNA(VLOOKUP(A57,[1]IRESS!$A$11:$G$772,7,FALSE),"n/a")</f>
        <v>4465123</v>
      </c>
      <c r="L57" s="177">
        <f>_xlfn.IFNA(VLOOKUP(A57,[1]IRESS!$A$10:$F$875,4,FALSE),"n/a")</f>
        <v>795</v>
      </c>
      <c r="M57" s="29">
        <f t="shared" si="0"/>
        <v>1.4091472417900024E-2</v>
      </c>
      <c r="N57" s="104" t="e">
        <f>VLOOKUP(A57,[1]Spreads!$A$1:$G$87,7,FALSE)</f>
        <v>#N/A</v>
      </c>
      <c r="O57" s="178">
        <f>IFERROR(VLOOKUP(A57,'[1]LIC List'!$E$2:$R$112,14,FALSE),"n/a")</f>
        <v>-6.25E-2</v>
      </c>
      <c r="P57" s="179">
        <f>IFERROR(VLOOKUP(A57,[1]NAV!$B$3:$F$310,5,FALSE),"n/a")</f>
        <v>43251</v>
      </c>
      <c r="Q57" s="9"/>
      <c r="R57" s="180">
        <f>_xlfn.IFNA(VLOOKUP($A57,[1]IRESS!$A$11:$AE$696,6,FALSE)/100,"n/a")</f>
        <v>1.1499999999999999</v>
      </c>
      <c r="S57" s="32">
        <f>_xlfn.IFNA(VLOOKUP($A57,[1]IRESS!$A$11:$AE$696,21,FALSE)/100,"n/a")</f>
        <v>1.39</v>
      </c>
      <c r="T57" s="180">
        <f>_xlfn.IFNA(VLOOKUP($A57,[1]IRESS!$A$11:$AE$696,22,FALSE)/100,"n/a")</f>
        <v>1.105</v>
      </c>
      <c r="V57" s="35">
        <f>IFERROR((VLOOKUP($A57,[1]IRESS!$A$11:$AE$696,20,FALSE)/100)/R57,"n/a")</f>
        <v>3.5652173913043476E-2</v>
      </c>
      <c r="W57" s="181">
        <f>IFERROR(VLOOKUP($A57,[1]Morningstar!$A$2:$F$477,3,FALSE),"n/a")</f>
        <v>-1E-4</v>
      </c>
      <c r="X57" s="35">
        <f>IFERROR(VLOOKUP($A57,[1]Morningstar!$A$2:$F$477,4,FALSE),"n/a")</f>
        <v>-0.1132</v>
      </c>
      <c r="Y57" s="181">
        <f>IFERROR(VLOOKUP($A57,[1]Morningstar!$A$2:$F$477,5,FALSE),"n/a")</f>
        <v>0.06</v>
      </c>
      <c r="Z57" s="35" t="str">
        <f>IFERROR(VLOOKUP($A57,[1]Morningstar!$A$2:$F$477,6,FALSE),"n/a")</f>
        <v>n/a</v>
      </c>
    </row>
    <row r="58" spans="1:26">
      <c r="A58" s="21" t="s">
        <v>555</v>
      </c>
      <c r="B58" s="174" t="s">
        <v>508</v>
      </c>
      <c r="C58" s="46" t="str">
        <f>VLOOKUP(A58,'[1]LIC List'!$A$2:$B$136,2,FALSE)</f>
        <v>Ryder Capital Limited</v>
      </c>
      <c r="D58" s="24"/>
      <c r="E58" s="9"/>
      <c r="F58" s="176">
        <f>_xlfn.IFNA(VLOOKUP(A58,'[1]LIC List'!$A$2:$I$136,6,FALSE),"n/a")</f>
        <v>1.25</v>
      </c>
      <c r="G58" s="26" t="str">
        <f>_xlfn.IFNA(VLOOKUP(A58,'[1]LIC List'!$A$2:$J$112,10,FALSE),"n/a")</f>
        <v>Yes</v>
      </c>
      <c r="H58" s="176">
        <f>_xlfn.IFNA(VLOOKUP(A58,'[1]LIC List'!$A$2:$J$145,8,FALSE)/1000000,"n/a")</f>
        <v>48.965485000000001</v>
      </c>
      <c r="I58" s="26">
        <f>_xlfn.IFNA(VLOOKUP(A58,'[1]LIC List'!$A$2:$N$136,14,FALSE)/1000000,"n/a")</f>
        <v>2.7693772400000021</v>
      </c>
      <c r="J58" s="177">
        <f>_xlfn.IFNA(VLOOKUP(A58,[1]IRESS!$A$10:$F$875,5,FALSE),"n/a")</f>
        <v>430821.76499999996</v>
      </c>
      <c r="K58" s="28">
        <f>_xlfn.IFNA(VLOOKUP(A58,[1]IRESS!$A$11:$G$772,7,FALSE),"n/a")</f>
        <v>344123</v>
      </c>
      <c r="L58" s="177">
        <f>_xlfn.IFNA(VLOOKUP(A58,[1]IRESS!$A$10:$F$875,4,FALSE),"n/a")</f>
        <v>40</v>
      </c>
      <c r="M58" s="29">
        <f t="shared" si="0"/>
        <v>7.027868712012145E-3</v>
      </c>
      <c r="N58" s="104" t="e">
        <f>VLOOKUP(A58,[1]Spreads!$A$1:$G$87,7,FALSE)</f>
        <v>#N/A</v>
      </c>
      <c r="O58" s="178">
        <f>IFERROR(VLOOKUP(A58,'[1]LIC List'!$E$2:$R$112,14,FALSE),"n/a")</f>
        <v>-0.12603176805160565</v>
      </c>
      <c r="P58" s="179">
        <f>IFERROR(VLOOKUP(A58,[1]NAV!$B$3:$F$310,5,FALSE),"n/a")</f>
        <v>43251</v>
      </c>
      <c r="Q58" s="9"/>
      <c r="R58" s="180">
        <f>_xlfn.IFNA(VLOOKUP($A58,[1]IRESS!$A$11:$AE$696,6,FALSE)/100,"n/a")</f>
        <v>1.25</v>
      </c>
      <c r="S58" s="32">
        <f>_xlfn.IFNA(VLOOKUP($A58,[1]IRESS!$A$11:$AE$696,21,FALSE)/100,"n/a")</f>
        <v>1.37</v>
      </c>
      <c r="T58" s="180">
        <f>_xlfn.IFNA(VLOOKUP($A58,[1]IRESS!$A$11:$AE$696,22,FALSE)/100,"n/a")</f>
        <v>1.07</v>
      </c>
      <c r="V58" s="35">
        <f>IFERROR((VLOOKUP($A58,[1]IRESS!$A$11:$AE$696,20,FALSE)/100)/R58,"n/a")</f>
        <v>8.0000000000000002E-3</v>
      </c>
      <c r="W58" s="181">
        <f>IFERROR(VLOOKUP($A58,[1]Morningstar!$A$2:$F$477,3,FALSE),"n/a")</f>
        <v>-8.0000000000000002E-3</v>
      </c>
      <c r="X58" s="35">
        <f>IFERROR(VLOOKUP($A58,[1]Morningstar!$A$2:$F$477,4,FALSE),"n/a")</f>
        <v>0.1777</v>
      </c>
      <c r="Y58" s="181" t="str">
        <f>IFERROR(VLOOKUP($A58,[1]Morningstar!$A$2:$F$477,5,FALSE),"n/a")</f>
        <v>n/a</v>
      </c>
      <c r="Z58" s="35" t="str">
        <f>IFERROR(VLOOKUP($A58,[1]Morningstar!$A$2:$F$477,6,FALSE),"n/a")</f>
        <v>n/a</v>
      </c>
    </row>
    <row r="59" spans="1:26">
      <c r="A59" s="21" t="s">
        <v>556</v>
      </c>
      <c r="B59" s="174" t="s">
        <v>508</v>
      </c>
      <c r="C59" s="46" t="str">
        <f>VLOOKUP(A59,'[1]LIC List'!$A$2:$B$136,2,FALSE)</f>
        <v>Spheria Emerging Companies Limited</v>
      </c>
      <c r="D59" s="24"/>
      <c r="E59" s="9"/>
      <c r="F59" s="176">
        <f>_xlfn.IFNA(VLOOKUP(A59,'[1]LIC List'!$A$2:$I$136,6,FALSE),"n/a")</f>
        <v>1</v>
      </c>
      <c r="G59" s="26" t="str">
        <f>_xlfn.IFNA(VLOOKUP(A59,'[1]LIC List'!$A$2:$J$112,10,FALSE),"n/a")</f>
        <v>Yes</v>
      </c>
      <c r="H59" s="176">
        <f>_xlfn.IFNA(VLOOKUP(A59,'[1]LIC List'!$A$2:$J$145,8,FALSE)/1000000,"n/a")</f>
        <v>129.02652696999999</v>
      </c>
      <c r="I59" s="26">
        <f>_xlfn.IFNA(VLOOKUP(A59,'[1]LIC List'!$A$2:$N$136,14,FALSE)/1000000,"n/a")</f>
        <v>0.33168773000000418</v>
      </c>
      <c r="J59" s="177">
        <f>_xlfn.IFNA(VLOOKUP(A59,[1]IRESS!$A$10:$F$875,5,FALSE),"n/a")</f>
        <v>3283142.3450000002</v>
      </c>
      <c r="K59" s="28">
        <f>_xlfn.IFNA(VLOOKUP(A59,[1]IRESS!$A$11:$G$772,7,FALSE),"n/a")</f>
        <v>1695653</v>
      </c>
      <c r="L59" s="177">
        <f>_xlfn.IFNA(VLOOKUP(A59,[1]IRESS!$A$10:$F$875,4,FALSE),"n/a")</f>
        <v>546</v>
      </c>
      <c r="M59" s="29">
        <f t="shared" si="0"/>
        <v>1.3141894460154359E-2</v>
      </c>
      <c r="N59" s="104" t="e">
        <f>VLOOKUP(A59,[1]Spreads!$A$1:$G$87,7,FALSE)</f>
        <v>#N/A</v>
      </c>
      <c r="O59" s="178">
        <f>IFERROR(VLOOKUP(A59,'[1]LIC List'!$E$2:$R$112,14,FALSE),"n/a")</f>
        <v>-8.3532219570405797E-2</v>
      </c>
      <c r="P59" s="179">
        <f>IFERROR(VLOOKUP(A59,[1]NAV!$B$3:$F$310,5,FALSE),"n/a")</f>
        <v>43251</v>
      </c>
      <c r="Q59" s="9"/>
      <c r="R59" s="180"/>
      <c r="S59" s="192">
        <f>_xlfn.IFNA(VLOOKUP($A59,[1]IRESS!$A$11:$AE$696,21,FALSE)/100,"n/a")</f>
        <v>2.09</v>
      </c>
      <c r="T59" s="180">
        <f>_xlfn.IFNA(VLOOKUP($A59,[1]IRESS!$A$11:$AE$696,22,FALSE)/100,"n/a")</f>
        <v>1.88</v>
      </c>
      <c r="V59" s="35" t="str">
        <f>IFERROR((VLOOKUP($A59,[1]IRESS!$A$11:$AE$696,20,FALSE)/100)/R59,"n/a")</f>
        <v>n/a</v>
      </c>
      <c r="W59" s="181">
        <f>IFERROR(VLOOKUP($A59,[1]Morningstar!$A$2:$F$477,3,FALSE),"n/a")</f>
        <v>1.2999999999999999E-2</v>
      </c>
      <c r="X59" s="35" t="str">
        <f>IFERROR(VLOOKUP($A59,[1]Morningstar!$A$2:$F$477,4,FALSE),"n/a")</f>
        <v>n/a</v>
      </c>
      <c r="Y59" s="181" t="str">
        <f>IFERROR(VLOOKUP($A59,[1]Morningstar!$A$2:$F$477,5,FALSE),"n/a")</f>
        <v>n/a</v>
      </c>
      <c r="Z59" s="35" t="str">
        <f>IFERROR(VLOOKUP($A59,[1]Morningstar!$A$2:$F$477,6,FALSE),"n/a")</f>
        <v>n/a</v>
      </c>
    </row>
    <row r="60" spans="1:26">
      <c r="A60" s="21" t="s">
        <v>557</v>
      </c>
      <c r="B60" s="174" t="s">
        <v>508</v>
      </c>
      <c r="C60" s="46" t="str">
        <f>VLOOKUP(A60,'[1]LIC List'!$A$2:$B$136,2,FALSE)</f>
        <v>Sandon Capital Investments Limited</v>
      </c>
      <c r="D60" s="24"/>
      <c r="E60" s="9"/>
      <c r="F60" s="176">
        <f>_xlfn.IFNA(VLOOKUP(A60,'[1]LIC List'!$A$2:$I$136,6,FALSE),"n/a")</f>
        <v>1.25</v>
      </c>
      <c r="G60" s="26" t="str">
        <f>_xlfn.IFNA(VLOOKUP(A60,'[1]LIC List'!$A$2:$J$112,10,FALSE),"n/a")</f>
        <v>Yes</v>
      </c>
      <c r="H60" s="176">
        <f>_xlfn.IFNA(VLOOKUP(A60,'[1]LIC List'!$A$2:$J$145,8,FALSE)/1000000,"n/a")</f>
        <v>44.802769975000004</v>
      </c>
      <c r="I60" s="26">
        <f>_xlfn.IFNA(VLOOKUP(A60,'[1]LIC List'!$A$2:$N$136,14,FALSE)/1000000,"n/a")</f>
        <v>-1.9374170799999981</v>
      </c>
      <c r="J60" s="177">
        <f>_xlfn.IFNA(VLOOKUP(A60,[1]IRESS!$A$10:$F$875,5,FALSE),"n/a")</f>
        <v>518998.82500000001</v>
      </c>
      <c r="K60" s="28">
        <f>_xlfn.IFNA(VLOOKUP(A60,[1]IRESS!$A$11:$G$772,7,FALSE),"n/a")</f>
        <v>549512</v>
      </c>
      <c r="L60" s="177">
        <f>_xlfn.IFNA(VLOOKUP(A60,[1]IRESS!$A$10:$F$875,4,FALSE),"n/a")</f>
        <v>93</v>
      </c>
      <c r="M60" s="29">
        <f t="shared" si="0"/>
        <v>1.2265134506340307E-2</v>
      </c>
      <c r="N60" s="104" t="e">
        <f>VLOOKUP(A60,[1]Spreads!$A$1:$G$87,7,FALSE)</f>
        <v>#N/A</v>
      </c>
      <c r="O60" s="178">
        <f>IFERROR(VLOOKUP(A60,'[1]LIC List'!$E$2:$R$112,14,FALSE),"n/a")</f>
        <v>-1.0361620557441942E-4</v>
      </c>
      <c r="P60" s="179">
        <f>IFERROR(VLOOKUP(A60,[1]NAV!$B$3:$F$310,5,FALSE),"n/a")</f>
        <v>43251</v>
      </c>
      <c r="Q60" s="9"/>
      <c r="R60" s="180">
        <f>_xlfn.IFNA(VLOOKUP($A60,[1]IRESS!$A$11:$AE$696,6,FALSE)/100,"n/a")</f>
        <v>0.92500000000000004</v>
      </c>
      <c r="S60" s="32">
        <f>_xlfn.IFNA(VLOOKUP($A60,[1]IRESS!$A$11:$AE$696,21,FALSE)/100,"n/a")</f>
        <v>1.06</v>
      </c>
      <c r="T60" s="180">
        <f>_xlfn.IFNA(VLOOKUP($A60,[1]IRESS!$A$11:$AE$696,22,FALSE)/100,"n/a")</f>
        <v>0.91</v>
      </c>
      <c r="V60" s="35">
        <f>IFERROR((VLOOKUP($A60,[1]IRESS!$A$11:$AE$696,20,FALSE)/100)/R60,"n/a")</f>
        <v>7.567567567567568E-2</v>
      </c>
      <c r="W60" s="181">
        <f>IFERROR(VLOOKUP($A60,[1]Morningstar!$A$2:$F$477,3,FALSE),"n/a")</f>
        <v>-4.6399999999999997E-2</v>
      </c>
      <c r="X60" s="35">
        <f>IFERROR(VLOOKUP($A60,[1]Morningstar!$A$2:$F$477,4,FALSE),"n/a")</f>
        <v>5.5800000000000002E-2</v>
      </c>
      <c r="Y60" s="181">
        <f>IFERROR(VLOOKUP($A60,[1]Morningstar!$A$2:$F$477,5,FALSE),"n/a")</f>
        <v>0.37669999999999998</v>
      </c>
      <c r="Z60" s="35" t="str">
        <f>IFERROR(VLOOKUP($A60,[1]Morningstar!$A$2:$F$477,6,FALSE),"n/a")</f>
        <v>n/a</v>
      </c>
    </row>
    <row r="61" spans="1:26">
      <c r="A61" s="21" t="s">
        <v>558</v>
      </c>
      <c r="B61" s="174" t="s">
        <v>508</v>
      </c>
      <c r="C61" s="46" t="str">
        <f>VLOOKUP(A61,'[1]LIC List'!$A$2:$B$136,2,FALSE)</f>
        <v>WAM Research Limited</v>
      </c>
      <c r="D61" s="24"/>
      <c r="E61" s="9"/>
      <c r="F61" s="176">
        <f>_xlfn.IFNA(VLOOKUP(A61,'[1]LIC List'!$A$2:$I$136,6,FALSE),"n/a")</f>
        <v>1</v>
      </c>
      <c r="G61" s="26" t="str">
        <f>_xlfn.IFNA(VLOOKUP(A61,'[1]LIC List'!$A$2:$J$112,10,FALSE),"n/a")</f>
        <v>Yes</v>
      </c>
      <c r="H61" s="176">
        <f>_xlfn.IFNA(VLOOKUP(A61,'[1]LIC List'!$A$2:$J$145,8,FALSE)/1000000,"n/a")</f>
        <v>284.49356886999999</v>
      </c>
      <c r="I61" s="26">
        <f>_xlfn.IFNA(VLOOKUP(A61,'[1]LIC List'!$A$2:$N$136,14,FALSE)/1000000,"n/a")</f>
        <v>2.8260950550000072</v>
      </c>
      <c r="J61" s="177">
        <f>_xlfn.IFNA(VLOOKUP(A61,[1]IRESS!$A$10:$F$875,5,FALSE),"n/a")</f>
        <v>4262517.5124999993</v>
      </c>
      <c r="K61" s="28">
        <f>_xlfn.IFNA(VLOOKUP(A61,[1]IRESS!$A$11:$G$772,7,FALSE),"n/a")</f>
        <v>2813339</v>
      </c>
      <c r="L61" s="177">
        <f>_xlfn.IFNA(VLOOKUP(A61,[1]IRESS!$A$10:$F$875,4,FALSE),"n/a")</f>
        <v>665</v>
      </c>
      <c r="M61" s="29">
        <f t="shared" si="0"/>
        <v>9.8889370721963899E-3</v>
      </c>
      <c r="N61" s="104" t="e">
        <f>VLOOKUP(A61,[1]Spreads!$A$1:$G$87,7,FALSE)</f>
        <v>#N/A</v>
      </c>
      <c r="O61" s="178">
        <f>IFERROR(VLOOKUP(A61,'[1]LIC List'!$E$2:$R$112,14,FALSE),"n/a")</f>
        <v>0.17767941827379063</v>
      </c>
      <c r="P61" s="179">
        <f>IFERROR(VLOOKUP(A61,[1]NAV!$B$3:$F$310,5,FALSE),"n/a")</f>
        <v>43251</v>
      </c>
      <c r="Q61" s="9"/>
      <c r="R61" s="180">
        <f>_xlfn.IFNA(VLOOKUP($A61,[1]IRESS!$A$11:$AE$696,6,FALSE)/100,"n/a")</f>
        <v>1.51</v>
      </c>
      <c r="S61" s="32">
        <f>_xlfn.IFNA(VLOOKUP($A61,[1]IRESS!$A$11:$AE$696,21,FALSE)/100,"n/a")</f>
        <v>1.635</v>
      </c>
      <c r="T61" s="180">
        <f>_xlfn.IFNA(VLOOKUP($A61,[1]IRESS!$A$11:$AE$696,22,FALSE)/100,"n/a")</f>
        <v>1.355</v>
      </c>
      <c r="V61" s="35">
        <f>IFERROR((VLOOKUP($A61,[1]IRESS!$A$11:$AE$696,20,FALSE)/100)/R61,"n/a")</f>
        <v>6.1258278145695365E-2</v>
      </c>
      <c r="W61" s="181">
        <f>IFERROR(VLOOKUP($A61,[1]Morningstar!$A$2:$F$477,3,FALSE),"n/a")</f>
        <v>1.34E-2</v>
      </c>
      <c r="X61" s="35">
        <f>IFERROR(VLOOKUP($A61,[1]Morningstar!$A$2:$F$477,4,FALSE),"n/a")</f>
        <v>6.4000000000000001E-2</v>
      </c>
      <c r="Y61" s="181">
        <f>IFERROR(VLOOKUP($A61,[1]Morningstar!$A$2:$F$477,5,FALSE),"n/a")</f>
        <v>0.15959999999999999</v>
      </c>
      <c r="Z61" s="35">
        <f>IFERROR(VLOOKUP($A61,[1]Morningstar!$A$2:$F$477,6,FALSE),"n/a")</f>
        <v>0.16170000000000001</v>
      </c>
    </row>
    <row r="62" spans="1:26">
      <c r="A62" s="21" t="s">
        <v>559</v>
      </c>
      <c r="B62" s="174" t="s">
        <v>508</v>
      </c>
      <c r="C62" s="46" t="str">
        <f>VLOOKUP(A62,'[1]LIC List'!$A$2:$B$136,2,FALSE)</f>
        <v>WAM Microcap Limited</v>
      </c>
      <c r="D62" s="24"/>
      <c r="E62" s="9"/>
      <c r="F62" s="176">
        <f>_xlfn.IFNA(VLOOKUP(A62,'[1]LIC List'!$A$2:$I$136,6,FALSE),"n/a")</f>
        <v>1</v>
      </c>
      <c r="G62" s="26" t="str">
        <f>_xlfn.IFNA(VLOOKUP(A62,'[1]LIC List'!$A$2:$J$112,10,FALSE),"n/a")</f>
        <v>Yes</v>
      </c>
      <c r="H62" s="176">
        <f>_xlfn.IFNA(VLOOKUP(A62,'[1]LIC List'!$A$2:$J$145,8,FALSE)/1000000,"n/a")</f>
        <v>199.71565522500001</v>
      </c>
      <c r="I62" s="26">
        <f>_xlfn.IFNA(VLOOKUP(A62,'[1]LIC List'!$A$2:$N$136,14,FALSE)/1000000,"n/a")</f>
        <v>3.5037834250000119</v>
      </c>
      <c r="J62" s="177">
        <f>_xlfn.IFNA(VLOOKUP(A62,[1]IRESS!$A$10:$F$875,5,FALSE),"n/a")</f>
        <v>3181626.7200000007</v>
      </c>
      <c r="K62" s="28">
        <f>_xlfn.IFNA(VLOOKUP(A62,[1]IRESS!$A$11:$G$772,7,FALSE),"n/a")</f>
        <v>2247618</v>
      </c>
      <c r="L62" s="177">
        <f>_xlfn.IFNA(VLOOKUP(A62,[1]IRESS!$A$10:$F$875,4,FALSE),"n/a")</f>
        <v>516</v>
      </c>
      <c r="M62" s="29">
        <f t="shared" si="0"/>
        <v>1.1254090208741171E-2</v>
      </c>
      <c r="N62" s="104" t="e">
        <f>VLOOKUP(A62,[1]Spreads!$A$1:$G$87,7,FALSE)</f>
        <v>#N/A</v>
      </c>
      <c r="O62" s="178">
        <f>IFERROR(VLOOKUP(A62,'[1]LIC List'!$E$2:$R$112,14,FALSE),"n/a")</f>
        <v>6.0389561555238114E-2</v>
      </c>
      <c r="P62" s="179">
        <f>IFERROR(VLOOKUP(A62,[1]NAV!$B$3:$F$310,5,FALSE),"n/a")</f>
        <v>43251</v>
      </c>
      <c r="Q62" s="9"/>
      <c r="R62" s="180">
        <f>_xlfn.IFNA(VLOOKUP($A62,[1]IRESS!$A$11:$AE$696,6,FALSE)/100,"n/a")</f>
        <v>1.425</v>
      </c>
      <c r="S62" s="32">
        <f>_xlfn.IFNA(VLOOKUP($A62,[1]IRESS!$A$11:$AE$696,21,FALSE)/100,"n/a")</f>
        <v>1.57</v>
      </c>
      <c r="T62" s="180">
        <f>_xlfn.IFNA(VLOOKUP($A62,[1]IRESS!$A$11:$AE$696,22,FALSE)/100,"n/a")</f>
        <v>1.1299999999999999</v>
      </c>
      <c r="V62" s="35">
        <f>IFERROR((VLOOKUP($A62,[1]IRESS!$A$11:$AE$696,20,FALSE)/100)/R62,"n/a")</f>
        <v>1.4035087719298246E-2</v>
      </c>
      <c r="W62" s="181">
        <f>IFERROR(VLOOKUP($A62,[1]Morningstar!$A$2:$F$477,3,FALSE),"n/a")</f>
        <v>3.5999999999999999E-3</v>
      </c>
      <c r="X62" s="35">
        <f>IFERROR(VLOOKUP($A62,[1]Morningstar!$A$2:$F$477,4,FALSE),"n/a")</f>
        <v>0.28489999999999999</v>
      </c>
      <c r="Y62" s="181" t="str">
        <f>IFERROR(VLOOKUP($A62,[1]Morningstar!$A$2:$F$477,5,FALSE),"n/a")</f>
        <v>n/a</v>
      </c>
      <c r="Z62" s="35" t="str">
        <f>IFERROR(VLOOKUP($A62,[1]Morningstar!$A$2:$F$477,6,FALSE),"n/a")</f>
        <v>n/a</v>
      </c>
    </row>
    <row r="63" spans="1:26" s="167" customFormat="1">
      <c r="A63" s="173" t="s">
        <v>55</v>
      </c>
      <c r="B63" s="182"/>
      <c r="C63" s="182"/>
      <c r="D63" s="182"/>
      <c r="E63" s="9"/>
      <c r="F63" s="183"/>
      <c r="G63" s="183"/>
      <c r="H63" s="183"/>
      <c r="I63" s="183"/>
      <c r="J63" s="184"/>
      <c r="K63" s="184"/>
      <c r="L63" s="184"/>
      <c r="M63" s="185"/>
      <c r="N63" s="186"/>
      <c r="O63" s="187"/>
      <c r="P63" s="188"/>
      <c r="Q63" s="9"/>
      <c r="R63" s="189"/>
      <c r="S63" s="189"/>
      <c r="T63" s="189"/>
      <c r="U63" s="7"/>
      <c r="V63" s="190"/>
      <c r="W63" s="191"/>
      <c r="X63" s="191"/>
      <c r="Y63" s="191"/>
      <c r="Z63" s="182"/>
    </row>
    <row r="64" spans="1:26">
      <c r="A64" s="21" t="s">
        <v>560</v>
      </c>
      <c r="B64" s="174" t="s">
        <v>529</v>
      </c>
      <c r="C64" s="46" t="str">
        <f>VLOOKUP(A64,'[1]LIC List'!$A$2:$B$136,2,FALSE)</f>
        <v>Aurora Absolute Return Fund</v>
      </c>
      <c r="D64" s="24"/>
      <c r="E64" s="9"/>
      <c r="F64" s="176" t="str">
        <f>_xlfn.IFNA(VLOOKUP(A64,'[1]LIC List'!$A$2:$I$136,6,FALSE),"n/a")</f>
        <v>n/a</v>
      </c>
      <c r="G64" s="26" t="str">
        <f>_xlfn.IFNA(VLOOKUP(A64,'[1]LIC List'!$A$2:$J$112,10,FALSE),"n/a")</f>
        <v>n/a</v>
      </c>
      <c r="H64" s="176">
        <f>_xlfn.IFNA(VLOOKUP(A64,'[1]LIC List'!$A$2:$J$145,8,FALSE)/1000000,"n/a")</f>
        <v>3.0831212600000004</v>
      </c>
      <c r="I64" s="26">
        <f>_xlfn.IFNA(VLOOKUP(A64,'[1]LIC List'!$A$2:$N$136,14,FALSE)/1000000,"n/a")</f>
        <v>-0.64907816000000018</v>
      </c>
      <c r="J64" s="177">
        <f>_xlfn.IFNA(VLOOKUP(A64,[1]IRESS!$A$10:$F$875,5,FALSE),"n/a")</f>
        <v>39521.440000000002</v>
      </c>
      <c r="K64" s="28">
        <f>_xlfn.IFNA(VLOOKUP(A64,[1]IRESS!$A$11:$G$772,7,FALSE),"n/a")</f>
        <v>100252</v>
      </c>
      <c r="L64" s="177">
        <f>_xlfn.IFNA(VLOOKUP(A64,[1]IRESS!$A$10:$F$875,4,FALSE),"n/a")</f>
        <v>18</v>
      </c>
      <c r="M64" s="29">
        <f t="shared" si="0"/>
        <v>3.2516398657638265E-2</v>
      </c>
      <c r="N64" s="104" t="e">
        <f>VLOOKUP(A64,[1]Spreads!$A$1:$G$87,7,FALSE)</f>
        <v>#N/A</v>
      </c>
      <c r="O64" s="178">
        <f>IFERROR(VLOOKUP(A64,'[1]LIC List'!$E$2:$R$112,14,FALSE),"n/a")</f>
        <v>-0.20083391243919391</v>
      </c>
      <c r="P64" s="179">
        <f>IFERROR(VLOOKUP(A64,[1]NAV!$B$3:$F$310,5,FALSE),"n/a")</f>
        <v>43251</v>
      </c>
      <c r="Q64" s="9"/>
      <c r="R64" s="180">
        <f>_xlfn.IFNA(VLOOKUP($A64,[1]IRESS!$A$11:$AE$696,6,FALSE)/100,"n/a")</f>
        <v>0.38</v>
      </c>
      <c r="S64" s="32">
        <f>_xlfn.IFNA(VLOOKUP($A64,[1]IRESS!$A$11:$AE$696,21,FALSE)/100,"n/a")</f>
        <v>0.59</v>
      </c>
      <c r="T64" s="180">
        <f>_xlfn.IFNA(VLOOKUP($A64,[1]IRESS!$A$11:$AE$696,22,FALSE)/100,"n/a")</f>
        <v>0.34</v>
      </c>
      <c r="V64" s="35">
        <f>IFERROR((VLOOKUP($A64,[1]IRESS!$A$11:$AE$696,20,FALSE)/100)/R64,"n/a")</f>
        <v>6.1315789473684205E-2</v>
      </c>
      <c r="W64" s="181">
        <f>IFERROR(VLOOKUP($A64,[1]Morningstar!$A$2:$F$477,3,FALSE),"n/a")</f>
        <v>-0.16750000000000001</v>
      </c>
      <c r="X64" s="35">
        <f>IFERROR(VLOOKUP($A64,[1]Morningstar!$A$2:$F$477,4,FALSE),"n/a")</f>
        <v>-1.5E-3</v>
      </c>
      <c r="Y64" s="181">
        <f>IFERROR(VLOOKUP($A64,[1]Morningstar!$A$2:$F$477,5,FALSE),"n/a")</f>
        <v>-0.22559999999999999</v>
      </c>
      <c r="Z64" s="35">
        <f>IFERROR(VLOOKUP($A64,[1]Morningstar!$A$2:$F$477,6,FALSE),"n/a")</f>
        <v>-0.14050000000000001</v>
      </c>
    </row>
    <row r="65" spans="1:26">
      <c r="A65" s="21" t="s">
        <v>561</v>
      </c>
      <c r="B65" s="174" t="s">
        <v>508</v>
      </c>
      <c r="C65" s="46" t="str">
        <f>VLOOKUP(A65,'[1]LIC List'!$A$2:$B$136,2,FALSE)</f>
        <v>Absolute Equity Performance Fund Limited</v>
      </c>
      <c r="D65" s="24"/>
      <c r="E65" s="9"/>
      <c r="F65" s="176">
        <f>_xlfn.IFNA(VLOOKUP(A65,'[1]LIC List'!$A$2:$I$136,6,FALSE),"n/a")</f>
        <v>1.5</v>
      </c>
      <c r="G65" s="26" t="str">
        <f>_xlfn.IFNA(VLOOKUP(A65,'[1]LIC List'!$A$2:$J$112,10,FALSE),"n/a")</f>
        <v>No</v>
      </c>
      <c r="H65" s="176">
        <f>_xlfn.IFNA(VLOOKUP(A65,'[1]LIC List'!$A$2:$J$145,8,FALSE)/1000000,"n/a")</f>
        <v>118.00778493999999</v>
      </c>
      <c r="I65" s="26">
        <f>_xlfn.IFNA(VLOOKUP(A65,'[1]LIC List'!$A$2:$N$136,14,FALSE)/1000000,"n/a")</f>
        <v>7.0905965199999956</v>
      </c>
      <c r="J65" s="177">
        <f>_xlfn.IFNA(VLOOKUP(A65,[1]IRESS!$A$10:$F$875,5,FALSE),"n/a")</f>
        <v>5479570.9050000003</v>
      </c>
      <c r="K65" s="28">
        <f>_xlfn.IFNA(VLOOKUP(A65,[1]IRESS!$A$11:$G$772,7,FALSE),"n/a")</f>
        <v>4826938</v>
      </c>
      <c r="L65" s="177">
        <f>_xlfn.IFNA(VLOOKUP(A65,[1]IRESS!$A$10:$F$875,4,FALSE),"n/a")</f>
        <v>482</v>
      </c>
      <c r="M65" s="29">
        <f t="shared" si="0"/>
        <v>4.0903555663333681E-2</v>
      </c>
      <c r="N65" s="104" t="e">
        <f>VLOOKUP(A65,[1]Spreads!$A$1:$G$87,7,FALSE)</f>
        <v>#N/A</v>
      </c>
      <c r="O65" s="178">
        <f>IFERROR(VLOOKUP(A65,'[1]LIC List'!$E$2:$R$112,14,FALSE),"n/a")</f>
        <v>-7.1729957805907074E-2</v>
      </c>
      <c r="P65" s="179">
        <f>IFERROR(VLOOKUP(A65,[1]NAV!$B$3:$F$310,5,FALSE),"n/a")</f>
        <v>43251</v>
      </c>
      <c r="Q65" s="9"/>
      <c r="R65" s="180">
        <f>_xlfn.IFNA(VLOOKUP($A65,[1]IRESS!$A$11:$AE$696,6,FALSE)/100,"n/a")</f>
        <v>1.165</v>
      </c>
      <c r="S65" s="32">
        <f>_xlfn.IFNA(VLOOKUP($A65,[1]IRESS!$A$11:$AE$696,21,FALSE)/100,"n/a")</f>
        <v>1.17</v>
      </c>
      <c r="T65" s="180">
        <f>_xlfn.IFNA(VLOOKUP($A65,[1]IRESS!$A$11:$AE$696,22,FALSE)/100,"n/a")</f>
        <v>1</v>
      </c>
      <c r="V65" s="35">
        <f>IFERROR((VLOOKUP($A65,[1]IRESS!$A$11:$AE$696,20,FALSE)/100)/R65,"n/a")</f>
        <v>3.8626609442060082E-2</v>
      </c>
      <c r="W65" s="181">
        <f>IFERROR(VLOOKUP($A65,[1]Morningstar!$A$2:$F$477,3,FALSE),"n/a")</f>
        <v>6.3700000000000007E-2</v>
      </c>
      <c r="X65" s="35">
        <f>IFERROR(VLOOKUP($A65,[1]Morningstar!$A$2:$F$477,4,FALSE),"n/a")</f>
        <v>7.9399999999999998E-2</v>
      </c>
      <c r="Y65" s="181" t="str">
        <f>IFERROR(VLOOKUP($A65,[1]Morningstar!$A$2:$F$477,5,FALSE),"n/a")</f>
        <v>n/a</v>
      </c>
      <c r="Z65" s="35" t="str">
        <f>IFERROR(VLOOKUP($A65,[1]Morningstar!$A$2:$F$477,6,FALSE),"n/a")</f>
        <v>n/a</v>
      </c>
    </row>
    <row r="66" spans="1:26">
      <c r="A66" s="21" t="s">
        <v>562</v>
      </c>
      <c r="B66" s="174" t="s">
        <v>508</v>
      </c>
      <c r="C66" s="46" t="str">
        <f>VLOOKUP(A66,'[1]LIC List'!$A$2:$B$136,2,FALSE)</f>
        <v>Australian Leaders Fund Limited</v>
      </c>
      <c r="D66" s="24"/>
      <c r="E66" s="9"/>
      <c r="F66" s="176">
        <f>_xlfn.IFNA(VLOOKUP(A66,'[1]LIC List'!$A$2:$I$136,6,FALSE),"n/a")</f>
        <v>2.72</v>
      </c>
      <c r="G66" s="26" t="str">
        <f>_xlfn.IFNA(VLOOKUP(A66,'[1]LIC List'!$A$2:$J$112,10,FALSE),"n/a")</f>
        <v>Yes</v>
      </c>
      <c r="H66" s="176">
        <f>_xlfn.IFNA(VLOOKUP(A66,'[1]LIC List'!$A$2:$J$145,8,FALSE)/1000000,"n/a")</f>
        <v>280.69964172000005</v>
      </c>
      <c r="I66" s="26">
        <f>_xlfn.IFNA(VLOOKUP(A66,'[1]LIC List'!$A$2:$N$136,14,FALSE)/1000000,"n/a")</f>
        <v>-2.7252392400000094</v>
      </c>
      <c r="J66" s="177">
        <f>_xlfn.IFNA(VLOOKUP(A66,[1]IRESS!$A$10:$F$875,5,FALSE),"n/a")</f>
        <v>12039579.272500003</v>
      </c>
      <c r="K66" s="28">
        <f>_xlfn.IFNA(VLOOKUP(A66,[1]IRESS!$A$11:$G$772,7,FALSE),"n/a")</f>
        <v>11818019</v>
      </c>
      <c r="L66" s="177">
        <f>_xlfn.IFNA(VLOOKUP(A66,[1]IRESS!$A$10:$F$875,4,FALSE),"n/a")</f>
        <v>1342</v>
      </c>
      <c r="M66" s="29">
        <f t="shared" si="0"/>
        <v>4.2102009562906967E-2</v>
      </c>
      <c r="N66" s="104" t="e">
        <f>VLOOKUP(A66,[1]Spreads!$A$1:$G$87,7,FALSE)</f>
        <v>#N/A</v>
      </c>
      <c r="O66" s="178">
        <f>IFERROR(VLOOKUP(A66,'[1]LIC List'!$E$2:$R$112,14,FALSE),"n/a")</f>
        <v>-0.14344262295081966</v>
      </c>
      <c r="P66" s="179">
        <f>IFERROR(VLOOKUP(A66,[1]NAV!$B$3:$F$310,5,FALSE),"n/a")</f>
        <v>43251</v>
      </c>
      <c r="Q66" s="9"/>
      <c r="R66" s="180">
        <f>_xlfn.IFNA(VLOOKUP($A66,[1]IRESS!$A$11:$AE$696,6,FALSE)/100,"n/a")</f>
        <v>1.03</v>
      </c>
      <c r="S66" s="32">
        <f>_xlfn.IFNA(VLOOKUP($A66,[1]IRESS!$A$11:$AE$696,21,FALSE)/100,"n/a")</f>
        <v>1.29</v>
      </c>
      <c r="T66" s="180">
        <f>_xlfn.IFNA(VLOOKUP($A66,[1]IRESS!$A$11:$AE$696,22,FALSE)/100,"n/a")</f>
        <v>0.97499999999999998</v>
      </c>
      <c r="V66" s="35">
        <f>IFERROR((VLOOKUP($A66,[1]IRESS!$A$11:$AE$696,20,FALSE)/100)/R66,"n/a")</f>
        <v>0</v>
      </c>
      <c r="W66" s="181">
        <f>IFERROR(VLOOKUP($A66,[1]Morningstar!$A$2:$F$477,3,FALSE),"n/a")</f>
        <v>-4.7999999999999996E-3</v>
      </c>
      <c r="X66" s="35">
        <f>IFERROR(VLOOKUP($A66,[1]Morningstar!$A$2:$F$477,4,FALSE),"n/a")</f>
        <v>-0.1452</v>
      </c>
      <c r="Y66" s="181">
        <f>IFERROR(VLOOKUP($A66,[1]Morningstar!$A$2:$F$477,5,FALSE),"n/a")</f>
        <v>-1.4800000000000001E-2</v>
      </c>
      <c r="Z66" s="35">
        <f>IFERROR(VLOOKUP($A66,[1]Morningstar!$A$2:$F$477,6,FALSE),"n/a")</f>
        <v>-8.3000000000000001E-3</v>
      </c>
    </row>
    <row r="67" spans="1:26">
      <c r="A67" s="21" t="s">
        <v>563</v>
      </c>
      <c r="B67" s="174" t="s">
        <v>529</v>
      </c>
      <c r="C67" s="46" t="str">
        <f>VLOOKUP(A67,'[1]LIC List'!$A$2:$B$136,2,FALSE)</f>
        <v>Aurora Property Buy-Write Income Trust</v>
      </c>
      <c r="D67" s="24"/>
      <c r="E67" s="9"/>
      <c r="F67" s="176">
        <f>_xlfn.IFNA(VLOOKUP(A67,'[1]LIC List'!$A$2:$I$136,6,FALSE),"n/a")</f>
        <v>1.03</v>
      </c>
      <c r="G67" s="26" t="str">
        <f>_xlfn.IFNA(VLOOKUP(A67,'[1]LIC List'!$A$2:$J$112,10,FALSE),"n/a")</f>
        <v>Yes</v>
      </c>
      <c r="H67" s="176">
        <f>_xlfn.IFNA(VLOOKUP(A67,'[1]LIC List'!$A$2:$J$145,8,FALSE)/1000000,"n/a")</f>
        <v>4.8650897199999994</v>
      </c>
      <c r="I67" s="26">
        <f>_xlfn.IFNA(VLOOKUP(A67,'[1]LIC List'!$A$2:$N$136,14,FALSE)/1000000,"n/a")</f>
        <v>-2.1643174799999993</v>
      </c>
      <c r="J67" s="177">
        <f>_xlfn.IFNA(VLOOKUP(A67,[1]IRESS!$A$10:$F$875,5,FALSE),"n/a")</f>
        <v>74258.23000000001</v>
      </c>
      <c r="K67" s="28">
        <f>_xlfn.IFNA(VLOOKUP(A67,[1]IRESS!$A$11:$G$772,7,FALSE),"n/a")</f>
        <v>23567</v>
      </c>
      <c r="L67" s="177">
        <f>_xlfn.IFNA(VLOOKUP(A67,[1]IRESS!$A$10:$F$875,4,FALSE),"n/a")</f>
        <v>18</v>
      </c>
      <c r="M67" s="29">
        <f t="shared" si="0"/>
        <v>4.8441038822198742E-3</v>
      </c>
      <c r="N67" s="104" t="e">
        <f>VLOOKUP(A67,[1]Spreads!$A$1:$G$87,7,FALSE)</f>
        <v>#N/A</v>
      </c>
      <c r="O67" s="178">
        <f>IFERROR(VLOOKUP(A67,'[1]LIC List'!$E$2:$R$112,14,FALSE),"n/a")</f>
        <v>7.5451406577234481E-2</v>
      </c>
      <c r="P67" s="179">
        <f>IFERROR(VLOOKUP(A67,[1]NAV!$B$3:$F$310,5,FALSE),"n/a")</f>
        <v>43251</v>
      </c>
      <c r="Q67" s="9"/>
      <c r="R67" s="180">
        <f>_xlfn.IFNA(VLOOKUP($A67,[1]IRESS!$A$11:$AE$696,6,FALSE)/100,"n/a")</f>
        <v>2.63</v>
      </c>
      <c r="S67" s="32">
        <f>_xlfn.IFNA(VLOOKUP($A67,[1]IRESS!$A$11:$AE$696,21,FALSE)/100,"n/a")</f>
        <v>4.53</v>
      </c>
      <c r="T67" s="180">
        <f>_xlfn.IFNA(VLOOKUP($A67,[1]IRESS!$A$11:$AE$696,22,FALSE)/100,"n/a")</f>
        <v>2.63</v>
      </c>
      <c r="V67" s="35">
        <f>IFERROR((VLOOKUP($A67,[1]IRESS!$A$11:$AE$696,20,FALSE)/100)/R67,"n/a")</f>
        <v>0.11779467680608366</v>
      </c>
      <c r="W67" s="181">
        <f>IFERROR(VLOOKUP($A67,[1]Morningstar!$A$2:$F$477,3,FALSE),"n/a")</f>
        <v>-0.2984</v>
      </c>
      <c r="X67" s="35">
        <f>IFERROR(VLOOKUP($A67,[1]Morningstar!$A$2:$F$477,4,FALSE),"n/a")</f>
        <v>-0.33960000000000001</v>
      </c>
      <c r="Y67" s="181">
        <f>IFERROR(VLOOKUP($A67,[1]Morningstar!$A$2:$F$477,5,FALSE),"n/a")</f>
        <v>-0.1527</v>
      </c>
      <c r="Z67" s="35">
        <f>IFERROR(VLOOKUP($A67,[1]Morningstar!$A$2:$F$477,6,FALSE),"n/a")</f>
        <v>-5.7299999999999997E-2</v>
      </c>
    </row>
    <row r="68" spans="1:26">
      <c r="A68" s="21" t="s">
        <v>564</v>
      </c>
      <c r="B68" s="174" t="s">
        <v>529</v>
      </c>
      <c r="C68" s="46" t="str">
        <f>VLOOKUP(A68,'[1]LIC List'!$A$2:$B$136,2,FALSE)</f>
        <v>Australian Enhanced Income Fund</v>
      </c>
      <c r="D68" s="24"/>
      <c r="E68" s="9"/>
      <c r="F68" s="176" t="str">
        <f>_xlfn.IFNA(VLOOKUP(A68,'[1]LIC List'!$A$2:$I$136,6,FALSE),"n/a")</f>
        <v>n/a</v>
      </c>
      <c r="G68" s="26" t="str">
        <f>_xlfn.IFNA(VLOOKUP(A68,'[1]LIC List'!$A$2:$J$112,10,FALSE),"n/a")</f>
        <v>n/a</v>
      </c>
      <c r="H68" s="176">
        <f>_xlfn.IFNA(VLOOKUP(A68,'[1]LIC List'!$A$2:$J$145,8,FALSE)/1000000,"n/a")</f>
        <v>19.178500399999997</v>
      </c>
      <c r="I68" s="26">
        <f>_xlfn.IFNA(VLOOKUP(A68,'[1]LIC List'!$A$2:$N$136,14,FALSE)/1000000,"n/a")</f>
        <v>-0.6619896400000006</v>
      </c>
      <c r="J68" s="177">
        <f>_xlfn.IFNA(VLOOKUP(A68,[1]IRESS!$A$10:$F$875,5,FALSE),"n/a")</f>
        <v>189357.37</v>
      </c>
      <c r="K68" s="28">
        <f>_xlfn.IFNA(VLOOKUP(A68,[1]IRESS!$A$11:$G$772,7,FALSE),"n/a")</f>
        <v>31840</v>
      </c>
      <c r="L68" s="177">
        <f>_xlfn.IFNA(VLOOKUP(A68,[1]IRESS!$A$10:$F$875,4,FALSE),"n/a")</f>
        <v>23</v>
      </c>
      <c r="M68" s="29">
        <f t="shared" si="0"/>
        <v>1.6601923683251065E-3</v>
      </c>
      <c r="N68" s="104" t="e">
        <f>VLOOKUP(A68,[1]Spreads!$A$1:$G$87,7,FALSE)</f>
        <v>#N/A</v>
      </c>
      <c r="O68" s="178">
        <f>IFERROR(VLOOKUP(A68,'[1]LIC List'!$E$2:$R$112,14,FALSE),"n/a")</f>
        <v>-5.7490700033817621E-3</v>
      </c>
      <c r="P68" s="179">
        <f>IFERROR(VLOOKUP(A68,[1]NAV!$B$3:$F$310,5,FALSE),"n/a")</f>
        <v>43251</v>
      </c>
      <c r="Q68" s="9"/>
      <c r="R68" s="180">
        <f>_xlfn.IFNA(VLOOKUP($A68,[1]IRESS!$A$11:$AE$696,6,FALSE)/100,"n/a")</f>
        <v>5.8</v>
      </c>
      <c r="S68" s="32">
        <f>_xlfn.IFNA(VLOOKUP($A68,[1]IRESS!$A$11:$AE$696,21,FALSE)/100,"n/a")</f>
        <v>6.25</v>
      </c>
      <c r="T68" s="180">
        <f>_xlfn.IFNA(VLOOKUP($A68,[1]IRESS!$A$11:$AE$696,22,FALSE)/100,"n/a")</f>
        <v>5.8</v>
      </c>
      <c r="V68" s="35">
        <f>IFERROR((VLOOKUP($A68,[1]IRESS!$A$11:$AE$696,20,FALSE)/100)/R68,"n/a")</f>
        <v>6.0344827586206892E-2</v>
      </c>
      <c r="W68" s="181">
        <f>IFERROR(VLOOKUP($A68,[1]Morningstar!$A$2:$F$477,3,FALSE),"n/a")</f>
        <v>1E-3</v>
      </c>
      <c r="X68" s="35">
        <f>IFERROR(VLOOKUP($A68,[1]Morningstar!$A$2:$F$477,4,FALSE),"n/a")</f>
        <v>-4.0000000000000002E-4</v>
      </c>
      <c r="Y68" s="181">
        <f>IFERROR(VLOOKUP($A68,[1]Morningstar!$A$2:$F$477,5,FALSE),"n/a")</f>
        <v>4.41E-2</v>
      </c>
      <c r="Z68" s="35">
        <f>IFERROR(VLOOKUP($A68,[1]Morningstar!$A$2:$F$477,6,FALSE),"n/a")</f>
        <v>4.4200000000000003E-2</v>
      </c>
    </row>
    <row r="69" spans="1:26">
      <c r="A69" s="21" t="s">
        <v>565</v>
      </c>
      <c r="B69" s="174" t="s">
        <v>508</v>
      </c>
      <c r="C69" s="46" t="str">
        <f>VLOOKUP(A69,'[1]LIC List'!$A$2:$B$136,2,FALSE)</f>
        <v>Blue Sky Alternatives Access Fund Limited</v>
      </c>
      <c r="D69" s="24"/>
      <c r="E69" s="9"/>
      <c r="F69" s="176">
        <f>_xlfn.IFNA(VLOOKUP(A69,'[1]LIC List'!$A$2:$I$136,6,FALSE),"n/a")</f>
        <v>1.2</v>
      </c>
      <c r="G69" s="26" t="str">
        <f>_xlfn.IFNA(VLOOKUP(A69,'[1]LIC List'!$A$2:$J$112,10,FALSE),"n/a")</f>
        <v>Yes</v>
      </c>
      <c r="H69" s="176">
        <f>_xlfn.IFNA(VLOOKUP(A69,'[1]LIC List'!$A$2:$J$145,8,FALSE)/1000000,"n/a")</f>
        <v>170.68948399999999</v>
      </c>
      <c r="I69" s="26">
        <f>_xlfn.IFNA(VLOOKUP(A69,'[1]LIC List'!$A$2:$N$136,14,FALSE)/1000000,"n/a")</f>
        <v>1.183536900000006</v>
      </c>
      <c r="J69" s="177">
        <f>_xlfn.IFNA(VLOOKUP(A69,[1]IRESS!$A$10:$F$875,5,FALSE),"n/a")</f>
        <v>8941177.2925000004</v>
      </c>
      <c r="K69" s="28">
        <f>_xlfn.IFNA(VLOOKUP(A69,[1]IRESS!$A$11:$G$772,7,FALSE),"n/a")</f>
        <v>11696718</v>
      </c>
      <c r="L69" s="177">
        <f>_xlfn.IFNA(VLOOKUP(A69,[1]IRESS!$A$10:$F$875,4,FALSE),"n/a")</f>
        <v>1611</v>
      </c>
      <c r="M69" s="29">
        <f t="shared" si="0"/>
        <v>6.8526295386773795E-2</v>
      </c>
      <c r="N69" s="104" t="e">
        <f>VLOOKUP(A69,[1]Spreads!$A$1:$G$87,7,FALSE)</f>
        <v>#N/A</v>
      </c>
      <c r="O69" s="178">
        <f>IFERROR(VLOOKUP(A69,'[1]LIC List'!$E$2:$R$112,14,FALSE),"n/a")</f>
        <v>-0.29203539823008839</v>
      </c>
      <c r="P69" s="179">
        <f>IFERROR(VLOOKUP(A69,[1]NAV!$B$3:$F$310,5,FALSE),"n/a")</f>
        <v>43251</v>
      </c>
      <c r="Q69" s="9"/>
      <c r="R69" s="180">
        <f>_xlfn.IFNA(VLOOKUP($A69,[1]IRESS!$A$11:$AE$696,6,FALSE)/100,"n/a")</f>
        <v>0.8</v>
      </c>
      <c r="S69" s="32">
        <f>_xlfn.IFNA(VLOOKUP($A69,[1]IRESS!$A$11:$AE$696,21,FALSE)/100,"n/a")</f>
        <v>1.2731780296564101</v>
      </c>
      <c r="T69" s="180">
        <f>_xlfn.IFNA(VLOOKUP($A69,[1]IRESS!$A$11:$AE$696,22,FALSE)/100,"n/a")</f>
        <v>0.68500000000000005</v>
      </c>
      <c r="V69" s="35">
        <f>IFERROR((VLOOKUP($A69,[1]IRESS!$A$11:$AE$696,20,FALSE)/100)/R69,"n/a")</f>
        <v>6.2040001153945923E-2</v>
      </c>
      <c r="W69" s="181">
        <f>IFERROR(VLOOKUP($A69,[1]Morningstar!$A$2:$F$477,3,FALSE),"n/a")</f>
        <v>2.0000000000000001E-4</v>
      </c>
      <c r="X69" s="35">
        <f>IFERROR(VLOOKUP($A69,[1]Morningstar!$A$2:$F$477,4,FALSE),"n/a")</f>
        <v>-0.28710000000000002</v>
      </c>
      <c r="Y69" s="181">
        <f>IFERROR(VLOOKUP($A69,[1]Morningstar!$A$2:$F$477,5,FALSE),"n/a")</f>
        <v>-2.8299999999999999E-2</v>
      </c>
      <c r="Z69" s="35" t="str">
        <f>IFERROR(VLOOKUP($A69,[1]Morningstar!$A$2:$F$477,6,FALSE),"n/a")</f>
        <v>n/a</v>
      </c>
    </row>
    <row r="70" spans="1:26">
      <c r="A70" s="21" t="s">
        <v>566</v>
      </c>
      <c r="B70" s="174" t="s">
        <v>508</v>
      </c>
      <c r="C70" s="46" t="str">
        <f>VLOOKUP(A70,'[1]LIC List'!$A$2:$B$136,2,FALSE)</f>
        <v>Duxton Water Limited</v>
      </c>
      <c r="D70" s="24"/>
      <c r="E70" s="9"/>
      <c r="F70" s="176">
        <f>_xlfn.IFNA(VLOOKUP(A70,'[1]LIC List'!$A$2:$I$136,6,FALSE),"n/a")</f>
        <v>0.85</v>
      </c>
      <c r="G70" s="26" t="str">
        <f>_xlfn.IFNA(VLOOKUP(A70,'[1]LIC List'!$A$2:$J$112,10,FALSE),"n/a")</f>
        <v>No</v>
      </c>
      <c r="H70" s="176">
        <f>_xlfn.IFNA(VLOOKUP(A70,'[1]LIC List'!$A$2:$J$145,8,FALSE)/1000000,"n/a")</f>
        <v>106.54025256</v>
      </c>
      <c r="I70" s="26">
        <f>_xlfn.IFNA(VLOOKUP(A70,'[1]LIC List'!$A$2:$N$136,14,FALSE)/1000000,"n/a")</f>
        <v>20.160484920000016</v>
      </c>
      <c r="J70" s="177">
        <f>_xlfn.IFNA(VLOOKUP(A70,[1]IRESS!$A$10:$F$875,5,FALSE),"n/a")</f>
        <v>1283300.4850000001</v>
      </c>
      <c r="K70" s="28">
        <f>_xlfn.IFNA(VLOOKUP(A70,[1]IRESS!$A$11:$G$772,7,FALSE),"n/a")</f>
        <v>1104235</v>
      </c>
      <c r="L70" s="177">
        <f>_xlfn.IFNA(VLOOKUP(A70,[1]IRESS!$A$10:$F$875,4,FALSE),"n/a")</f>
        <v>290</v>
      </c>
      <c r="M70" s="29">
        <f t="shared" si="0"/>
        <v>1.0364486412101668E-2</v>
      </c>
      <c r="N70" s="104" t="e">
        <f>VLOOKUP(A70,[1]Spreads!$A$1:$G$87,7,FALSE)</f>
        <v>#N/A</v>
      </c>
      <c r="O70" s="178">
        <f>IFERROR(VLOOKUP(A70,'[1]LIC List'!$E$2:$R$112,14,FALSE),"n/a")</f>
        <v>-8.1300813008130191E-2</v>
      </c>
      <c r="P70" s="179">
        <f>IFERROR(VLOOKUP(A70,[1]NAV!$B$3:$F$310,5,FALSE),"n/a")</f>
        <v>43251</v>
      </c>
      <c r="Q70" s="9"/>
      <c r="R70" s="180">
        <f>_xlfn.IFNA(VLOOKUP($A70,[1]IRESS!$A$11:$AE$696,6,FALSE)/100,"n/a")</f>
        <v>1.19</v>
      </c>
      <c r="S70" s="32">
        <f>_xlfn.IFNA(VLOOKUP($A70,[1]IRESS!$A$11:$AE$696,21,FALSE)/100,"n/a")</f>
        <v>1.26</v>
      </c>
      <c r="T70" s="180">
        <f>_xlfn.IFNA(VLOOKUP($A70,[1]IRESS!$A$11:$AE$696,22,FALSE)/100,"n/a")</f>
        <v>0.98</v>
      </c>
      <c r="V70" s="35">
        <f>IFERROR((VLOOKUP($A70,[1]IRESS!$A$11:$AE$696,20,FALSE)/100)/R70,"n/a")</f>
        <v>3.949579831932773E-2</v>
      </c>
      <c r="W70" s="181">
        <f>IFERROR(VLOOKUP($A70,[1]Morningstar!$A$2:$F$477,3,FALSE),"n/a")</f>
        <v>8.1799999999999998E-2</v>
      </c>
      <c r="X70" s="35">
        <f>IFERROR(VLOOKUP($A70,[1]Morningstar!$A$2:$F$477,4,FALSE),"n/a")</f>
        <v>0.1391</v>
      </c>
      <c r="Y70" s="181" t="str">
        <f>IFERROR(VLOOKUP($A70,[1]Morningstar!$A$2:$F$477,5,FALSE),"n/a")</f>
        <v>n/a</v>
      </c>
      <c r="Z70" s="35" t="str">
        <f>IFERROR(VLOOKUP($A70,[1]Morningstar!$A$2:$F$477,6,FALSE),"n/a")</f>
        <v>n/a</v>
      </c>
    </row>
    <row r="71" spans="1:26">
      <c r="A71" s="21" t="s">
        <v>567</v>
      </c>
      <c r="B71" s="174" t="s">
        <v>529</v>
      </c>
      <c r="C71" s="46" t="str">
        <f>VLOOKUP(A71,'[1]LIC List'!$A$2:$B$136,2,FALSE)</f>
        <v>HHY Fund</v>
      </c>
      <c r="D71" s="24"/>
      <c r="E71" s="9"/>
      <c r="F71" s="176" t="str">
        <f>_xlfn.IFNA(VLOOKUP(A71,'[1]LIC List'!$A$2:$I$136,6,FALSE),"n/a")</f>
        <v>n/a</v>
      </c>
      <c r="G71" s="26" t="str">
        <f>_xlfn.IFNA(VLOOKUP(A71,'[1]LIC List'!$A$2:$J$112,10,FALSE),"n/a")</f>
        <v>n/a</v>
      </c>
      <c r="H71" s="176">
        <f>_xlfn.IFNA(VLOOKUP(A71,'[1]LIC List'!$A$2:$J$145,8,FALSE)/1000000,"n/a")</f>
        <v>5.6170856910000007</v>
      </c>
      <c r="I71" s="26">
        <f>_xlfn.IFNA(VLOOKUP(A71,'[1]LIC List'!$A$2:$N$136,14,FALSE)/1000000,"n/a")</f>
        <v>-1.7095478189999993</v>
      </c>
      <c r="J71" s="177">
        <f>_xlfn.IFNA(VLOOKUP(A71,[1]IRESS!$A$10:$F$875,5,FALSE),"n/a")</f>
        <v>17880.627</v>
      </c>
      <c r="K71" s="28">
        <f>_xlfn.IFNA(VLOOKUP(A71,[1]IRESS!$A$11:$G$772,7,FALSE),"n/a")</f>
        <v>255681</v>
      </c>
      <c r="L71" s="177">
        <f>_xlfn.IFNA(VLOOKUP(A71,[1]IRESS!$A$10:$F$875,4,FALSE),"n/a")</f>
        <v>31</v>
      </c>
      <c r="M71" s="29">
        <f t="shared" si="0"/>
        <v>4.5518443916507445E-2</v>
      </c>
      <c r="N71" s="104" t="e">
        <f>VLOOKUP(A71,[1]Spreads!$A$1:$G$87,7,FALSE)</f>
        <v>#N/A</v>
      </c>
      <c r="O71" s="178">
        <f>IFERROR(VLOOKUP(A71,'[1]LIC List'!$E$2:$R$112,14,FALSE),"n/a")</f>
        <v>-6.4327485380117011E-2</v>
      </c>
      <c r="P71" s="179">
        <f>IFERROR(VLOOKUP(A71,[1]NAV!$B$3:$F$310,5,FALSE),"n/a")</f>
        <v>43251</v>
      </c>
      <c r="Q71" s="9"/>
      <c r="R71" s="180">
        <f>_xlfn.IFNA(VLOOKUP($A71,[1]IRESS!$A$11:$AE$696,6,FALSE)/100,"n/a")</f>
        <v>6.9000000000000006E-2</v>
      </c>
      <c r="S71" s="32">
        <f>_xlfn.IFNA(VLOOKUP($A71,[1]IRESS!$A$11:$AE$696,21,FALSE)/100,"n/a")</f>
        <v>0.13500000000000001</v>
      </c>
      <c r="T71" s="180">
        <f>_xlfn.IFNA(VLOOKUP($A71,[1]IRESS!$A$11:$AE$696,22,FALSE)/100,"n/a")</f>
        <v>5.7999999999999996E-2</v>
      </c>
      <c r="V71" s="35">
        <f>IFERROR((VLOOKUP($A71,[1]IRESS!$A$11:$AE$696,20,FALSE)/100)/R71,"n/a")</f>
        <v>0</v>
      </c>
      <c r="W71" s="181">
        <f>IFERROR(VLOOKUP($A71,[1]Morningstar!$A$2:$F$477,3,FALSE),"n/a")</f>
        <v>6.1499999999999999E-2</v>
      </c>
      <c r="X71" s="35">
        <f>IFERROR(VLOOKUP($A71,[1]Morningstar!$A$2:$F$477,4,FALSE),"n/a")</f>
        <v>-0.31</v>
      </c>
      <c r="Y71" s="181">
        <f>IFERROR(VLOOKUP($A71,[1]Morningstar!$A$2:$F$477,5,FALSE),"n/a")</f>
        <v>-0.1163</v>
      </c>
      <c r="Z71" s="35">
        <f>IFERROR(VLOOKUP($A71,[1]Morningstar!$A$2:$F$477,6,FALSE),"n/a")</f>
        <v>-9.7299999999999998E-2</v>
      </c>
    </row>
    <row r="72" spans="1:26">
      <c r="A72" s="21" t="s">
        <v>568</v>
      </c>
      <c r="B72" s="174" t="s">
        <v>508</v>
      </c>
      <c r="C72" s="46" t="str">
        <f>VLOOKUP(A72,'[1]LIC List'!$A$2:$B$136,2,FALSE)</f>
        <v>Henry Morgan Limited</v>
      </c>
      <c r="D72" s="24"/>
      <c r="E72" s="9"/>
      <c r="F72" s="176">
        <f>_xlfn.IFNA(VLOOKUP(A72,'[1]LIC List'!$A$2:$I$136,6,FALSE),"n/a")</f>
        <v>2</v>
      </c>
      <c r="G72" s="26" t="str">
        <f>_xlfn.IFNA(VLOOKUP(A72,'[1]LIC List'!$A$2:$J$112,10,FALSE),"n/a")</f>
        <v>Yes</v>
      </c>
      <c r="H72" s="176">
        <f>_xlfn.IFNA(VLOOKUP(A72,'[1]LIC List'!$A$2:$J$145,8,FALSE)/1000000,"n/a")</f>
        <v>61.381828599999999</v>
      </c>
      <c r="I72" s="26">
        <f>_xlfn.IFNA(VLOOKUP(A72,'[1]LIC List'!$A$2:$N$136,14,FALSE)/1000000,"n/a")</f>
        <v>0</v>
      </c>
      <c r="J72" s="177">
        <f>_xlfn.IFNA(VLOOKUP(A72,[1]IRESS!$A$10:$F$875,5,FALSE),"n/a")</f>
        <v>0</v>
      </c>
      <c r="K72" s="28">
        <f>_xlfn.IFNA(VLOOKUP(A72,[1]IRESS!$A$11:$G$772,7,FALSE),"n/a")</f>
        <v>0</v>
      </c>
      <c r="L72" s="177">
        <f>_xlfn.IFNA(VLOOKUP(A72,[1]IRESS!$A$10:$F$875,4,FALSE),"n/a")</f>
        <v>0</v>
      </c>
      <c r="M72" s="29">
        <f t="shared" si="0"/>
        <v>0</v>
      </c>
      <c r="N72" s="104" t="e">
        <f>VLOOKUP(A72,[1]Spreads!$A$1:$G$87,7,FALSE)</f>
        <v>#N/A</v>
      </c>
      <c r="O72" s="178">
        <f>IFERROR(VLOOKUP(A72,'[1]LIC List'!$E$2:$R$112,14,FALSE),"n/a")</f>
        <v>0.15082118898912777</v>
      </c>
      <c r="P72" s="179">
        <f>IFERROR(VLOOKUP(A72,[1]NAV!$B$3:$F$310,5,FALSE),"n/a")</f>
        <v>43251</v>
      </c>
      <c r="Q72" s="9"/>
      <c r="R72" s="180">
        <f>_xlfn.IFNA(VLOOKUP($A72,[1]IRESS!$A$11:$AE$696,6,FALSE)/100,"n/a")</f>
        <v>1.99</v>
      </c>
      <c r="S72" s="32">
        <f>_xlfn.IFNA(VLOOKUP($A72,[1]IRESS!$A$11:$AE$696,21,FALSE)/100,"n/a")</f>
        <v>0</v>
      </c>
      <c r="T72" s="180">
        <f>_xlfn.IFNA(VLOOKUP($A72,[1]IRESS!$A$11:$AE$696,22,FALSE)/100,"n/a")</f>
        <v>0</v>
      </c>
      <c r="V72" s="35">
        <f>IFERROR((VLOOKUP($A72,[1]IRESS!$A$11:$AE$696,20,FALSE)/100)/R72,"n/a")</f>
        <v>0</v>
      </c>
      <c r="W72" s="181" t="str">
        <f>IFERROR(VLOOKUP($A72,[1]Morningstar!$A$2:$F$477,3,FALSE),"n/a")</f>
        <v>n/a</v>
      </c>
      <c r="X72" s="35" t="str">
        <f>IFERROR(VLOOKUP($A72,[1]Morningstar!$A$2:$F$477,4,FALSE),"n/a")</f>
        <v>n/a</v>
      </c>
      <c r="Y72" s="181" t="str">
        <f>IFERROR(VLOOKUP($A72,[1]Morningstar!$A$2:$F$477,5,FALSE),"n/a")</f>
        <v>n/a</v>
      </c>
      <c r="Z72" s="35" t="str">
        <f>IFERROR(VLOOKUP($A72,[1]Morningstar!$A$2:$F$477,6,FALSE),"n/a")</f>
        <v>n/a</v>
      </c>
    </row>
    <row r="73" spans="1:26">
      <c r="A73" s="21" t="s">
        <v>569</v>
      </c>
      <c r="B73" s="174" t="s">
        <v>508</v>
      </c>
      <c r="C73" s="46" t="str">
        <f>VLOOKUP(A73,'[1]LIC List'!$A$2:$B$136,2,FALSE)</f>
        <v>IPE Limited</v>
      </c>
      <c r="D73" s="24"/>
      <c r="E73" s="9"/>
      <c r="F73" s="176">
        <f>_xlfn.IFNA(VLOOKUP(A73,'[1]LIC List'!$A$2:$I$136,6,FALSE),"n/a")</f>
        <v>1.5</v>
      </c>
      <c r="G73" s="26" t="str">
        <f>_xlfn.IFNA(VLOOKUP(A73,'[1]LIC List'!$A$2:$J$112,10,FALSE),"n/a")</f>
        <v>Yes</v>
      </c>
      <c r="H73" s="176">
        <f>_xlfn.IFNA(VLOOKUP(A73,'[1]LIC List'!$A$2:$J$145,8,FALSE)/1000000,"n/a")</f>
        <v>10.308799523999999</v>
      </c>
      <c r="I73" s="26">
        <f>_xlfn.IFNA(VLOOKUP(A73,'[1]LIC List'!$A$2:$N$136,14,FALSE)/1000000,"n/a")</f>
        <v>1.7633472870000004</v>
      </c>
      <c r="J73" s="177">
        <f>_xlfn.IFNA(VLOOKUP(A73,[1]IRESS!$A$10:$F$875,5,FALSE),"n/a")</f>
        <v>737083.91099999996</v>
      </c>
      <c r="K73" s="28">
        <f>_xlfn.IFNA(VLOOKUP(A73,[1]IRESS!$A$11:$G$772,7,FALSE),"n/a")</f>
        <v>9800373</v>
      </c>
      <c r="L73" s="177">
        <f>_xlfn.IFNA(VLOOKUP(A73,[1]IRESS!$A$10:$F$875,4,FALSE),"n/a")</f>
        <v>140</v>
      </c>
      <c r="M73" s="29">
        <f t="shared" si="0"/>
        <v>0.95068033646242434</v>
      </c>
      <c r="N73" s="104" t="e">
        <f>VLOOKUP(A73,[1]Spreads!$A$1:$G$87,7,FALSE)</f>
        <v>#N/A</v>
      </c>
      <c r="O73" s="178">
        <f>IFERROR(VLOOKUP(A73,'[1]LIC List'!$E$2:$R$112,14,FALSE),"n/a")</f>
        <v>-0.11594202898550732</v>
      </c>
      <c r="P73" s="179">
        <f>IFERROR(VLOOKUP(A73,[1]NAV!$B$3:$F$310,5,FALSE),"n/a")</f>
        <v>43251</v>
      </c>
      <c r="Q73" s="9"/>
      <c r="R73" s="180">
        <f>_xlfn.IFNA(VLOOKUP($A73,[1]IRESS!$A$11:$AE$696,6,FALSE)/100,"n/a")</f>
        <v>7.5999999999999998E-2</v>
      </c>
      <c r="S73" s="32">
        <f>_xlfn.IFNA(VLOOKUP($A73,[1]IRESS!$A$11:$AE$696,21,FALSE)/100,"n/a")</f>
        <v>0.1075059986114502</v>
      </c>
      <c r="T73" s="180">
        <f>_xlfn.IFNA(VLOOKUP($A73,[1]IRESS!$A$11:$AE$696,22,FALSE)/100,"n/a")</f>
        <v>5.7999999999999996E-2</v>
      </c>
      <c r="V73" s="35">
        <f>IFERROR((VLOOKUP($A73,[1]IRESS!$A$11:$AE$696,20,FALSE)/100)/R73,"n/a")</f>
        <v>0.49342105263157893</v>
      </c>
      <c r="W73" s="181">
        <f>IFERROR(VLOOKUP($A73,[1]Morningstar!$A$2:$F$477,3,FALSE),"n/a")</f>
        <v>0.18770000000000001</v>
      </c>
      <c r="X73" s="35">
        <f>IFERROR(VLOOKUP($A73,[1]Morningstar!$A$2:$F$477,4,FALSE),"n/a")</f>
        <v>7.22E-2</v>
      </c>
      <c r="Y73" s="181">
        <f>IFERROR(VLOOKUP($A73,[1]Morningstar!$A$2:$F$477,5,FALSE),"n/a")</f>
        <v>2.6499999999999999E-2</v>
      </c>
      <c r="Z73" s="35">
        <f>IFERROR(VLOOKUP($A73,[1]Morningstar!$A$2:$F$477,6,FALSE),"n/a")</f>
        <v>7.22E-2</v>
      </c>
    </row>
    <row r="74" spans="1:26">
      <c r="A74" s="21" t="s">
        <v>570</v>
      </c>
      <c r="B74" s="174" t="s">
        <v>508</v>
      </c>
      <c r="C74" s="46" t="str">
        <f>VLOOKUP(A74,'[1]LIC List'!$A$2:$B$136,2,FALSE)</f>
        <v>Katana Capital Limited</v>
      </c>
      <c r="D74" s="24"/>
      <c r="E74" s="9"/>
      <c r="F74" s="176">
        <f>_xlfn.IFNA(VLOOKUP(A74,'[1]LIC List'!$A$2:$I$136,6,FALSE),"n/a")</f>
        <v>1.25</v>
      </c>
      <c r="G74" s="26" t="str">
        <f>_xlfn.IFNA(VLOOKUP(A74,'[1]LIC List'!$A$2:$J$112,10,FALSE),"n/a")</f>
        <v>Yes</v>
      </c>
      <c r="H74" s="176">
        <f>_xlfn.IFNA(VLOOKUP(A74,'[1]LIC List'!$A$2:$J$145,8,FALSE)/1000000,"n/a")</f>
        <v>33.325582545000003</v>
      </c>
      <c r="I74" s="26">
        <f>_xlfn.IFNA(VLOOKUP(A74,'[1]LIC List'!$A$2:$N$136,14,FALSE)/1000000,"n/a")</f>
        <v>0.6534427950000018</v>
      </c>
      <c r="J74" s="177">
        <f>_xlfn.IFNA(VLOOKUP(A74,[1]IRESS!$A$10:$F$875,5,FALSE),"n/a")</f>
        <v>732176.09500000009</v>
      </c>
      <c r="K74" s="28">
        <f>_xlfn.IFNA(VLOOKUP(A74,[1]IRESS!$A$11:$G$772,7,FALSE),"n/a")</f>
        <v>960810</v>
      </c>
      <c r="L74" s="177">
        <f>_xlfn.IFNA(VLOOKUP(A74,[1]IRESS!$A$10:$F$875,4,FALSE),"n/a")</f>
        <v>94</v>
      </c>
      <c r="M74" s="29">
        <f t="shared" si="0"/>
        <v>2.8831003890257726E-2</v>
      </c>
      <c r="N74" s="104" t="e">
        <f>VLOOKUP(A74,[1]Spreads!$A$1:$G$87,7,FALSE)</f>
        <v>#N/A</v>
      </c>
      <c r="O74" s="178">
        <f>IFERROR(VLOOKUP(A74,'[1]LIC List'!$E$2:$R$112,14,FALSE),"n/a")</f>
        <v>-0.21599169262720663</v>
      </c>
      <c r="P74" s="179">
        <f>IFERROR(VLOOKUP(A74,[1]NAV!$B$3:$F$310,5,FALSE),"n/a")</f>
        <v>43251</v>
      </c>
      <c r="Q74" s="9"/>
      <c r="R74" s="180">
        <f>_xlfn.IFNA(VLOOKUP($A74,[1]IRESS!$A$11:$AE$696,6,FALSE)/100,"n/a")</f>
        <v>0.76500000000000001</v>
      </c>
      <c r="S74" s="32">
        <f>_xlfn.IFNA(VLOOKUP($A74,[1]IRESS!$A$11:$AE$696,21,FALSE)/100,"n/a")</f>
        <v>0.85499999999999998</v>
      </c>
      <c r="T74" s="180">
        <f>_xlfn.IFNA(VLOOKUP($A74,[1]IRESS!$A$11:$AE$696,22,FALSE)/100,"n/a")</f>
        <v>0.7</v>
      </c>
      <c r="V74" s="35">
        <f>IFERROR((VLOOKUP($A74,[1]IRESS!$A$11:$AE$696,20,FALSE)/100)/R74,"n/a")</f>
        <v>2.9411764705882353E-2</v>
      </c>
      <c r="W74" s="181">
        <f>IFERROR(VLOOKUP($A74,[1]Morningstar!$A$2:$F$477,3,FALSE),"n/a")</f>
        <v>2.01E-2</v>
      </c>
      <c r="X74" s="35">
        <f>IFERROR(VLOOKUP($A74,[1]Morningstar!$A$2:$F$477,4,FALSE),"n/a")</f>
        <v>0.1094</v>
      </c>
      <c r="Y74" s="181">
        <f>IFERROR(VLOOKUP($A74,[1]Morningstar!$A$2:$F$477,5,FALSE),"n/a")</f>
        <v>2.4299999999999999E-2</v>
      </c>
      <c r="Z74" s="35">
        <f>IFERROR(VLOOKUP($A74,[1]Morningstar!$A$2:$F$477,6,FALSE),"n/a")</f>
        <v>5.1200000000000002E-2</v>
      </c>
    </row>
    <row r="75" spans="1:26">
      <c r="A75" s="21" t="s">
        <v>571</v>
      </c>
      <c r="B75" s="174" t="s">
        <v>529</v>
      </c>
      <c r="C75" s="46" t="str">
        <f>VLOOKUP(A75,'[1]LIC List'!$A$2:$B$136,2,FALSE)</f>
        <v>Millinium's Alternatives Fund</v>
      </c>
      <c r="D75" s="24"/>
      <c r="E75" s="9"/>
      <c r="F75" s="176">
        <f>_xlfn.IFNA(VLOOKUP(A75,'[1]LIC List'!$A$2:$I$136,6,FALSE),"n/a")</f>
        <v>0.2</v>
      </c>
      <c r="G75" s="26" t="str">
        <f>_xlfn.IFNA(VLOOKUP(A75,'[1]LIC List'!$A$2:$J$112,10,FALSE),"n/a")</f>
        <v>n/a</v>
      </c>
      <c r="H75" s="176">
        <f>_xlfn.IFNA(VLOOKUP(A75,'[1]LIC List'!$A$2:$J$145,8,FALSE)/1000000,"n/a")</f>
        <v>7.9319195999999996</v>
      </c>
      <c r="I75" s="26">
        <f>_xlfn.IFNA(VLOOKUP(A75,'[1]LIC List'!$A$2:$N$136,14,FALSE)/1000000,"n/a")</f>
        <v>0</v>
      </c>
      <c r="J75" s="177">
        <f>_xlfn.IFNA(VLOOKUP(A75,[1]IRESS!$A$10:$F$875,5,FALSE),"n/a")</f>
        <v>0</v>
      </c>
      <c r="K75" s="28">
        <f>_xlfn.IFNA(VLOOKUP(A75,[1]IRESS!$A$11:$G$772,7,FALSE),"n/a")</f>
        <v>0</v>
      </c>
      <c r="L75" s="177">
        <f>_xlfn.IFNA(VLOOKUP(A75,[1]IRESS!$A$10:$F$875,4,FALSE),"n/a")</f>
        <v>0</v>
      </c>
      <c r="M75" s="29">
        <f t="shared" si="0"/>
        <v>0</v>
      </c>
      <c r="N75" s="104" t="e">
        <f>VLOOKUP(A75,[1]Spreads!$A$1:$G$87,7,FALSE)</f>
        <v>#N/A</v>
      </c>
      <c r="O75" s="178">
        <f>IFERROR(VLOOKUP(A75,'[1]LIC List'!$E$2:$R$112,14,FALSE),"n/a")</f>
        <v>-0.15761528545354764</v>
      </c>
      <c r="P75" s="179">
        <f>IFERROR(VLOOKUP(A75,[1]NAV!$B$3:$F$310,5,FALSE),"n/a")</f>
        <v>43249</v>
      </c>
      <c r="Q75" s="9"/>
      <c r="R75" s="180">
        <f>_xlfn.IFNA(VLOOKUP($A75,[1]IRESS!$A$11:$AE$696,6,FALSE)/100,"n/a")</f>
        <v>6.6</v>
      </c>
      <c r="S75" s="32">
        <f>_xlfn.IFNA(VLOOKUP($A75,[1]IRESS!$A$11:$AE$696,21,FALSE)/100,"n/a")</f>
        <v>6.61</v>
      </c>
      <c r="T75" s="180">
        <f>_xlfn.IFNA(VLOOKUP($A75,[1]IRESS!$A$11:$AE$696,22,FALSE)/100,"n/a")</f>
        <v>4.88</v>
      </c>
      <c r="V75" s="35">
        <f>IFERROR((VLOOKUP($A75,[1]IRESS!$A$11:$AE$696,20,FALSE)/100)/R75,"n/a")</f>
        <v>0</v>
      </c>
      <c r="W75" s="181">
        <f>IFERROR(VLOOKUP($A75,[1]Morningstar!$A$2:$F$477,3,FALSE),"n/a")</f>
        <v>0</v>
      </c>
      <c r="X75" s="35">
        <f>IFERROR(VLOOKUP($A75,[1]Morningstar!$A$2:$F$477,4,FALSE),"n/a")</f>
        <v>-1.2E-2</v>
      </c>
      <c r="Y75" s="181">
        <f>IFERROR(VLOOKUP($A75,[1]Morningstar!$A$2:$F$477,5,FALSE),"n/a")</f>
        <v>2.5399999999999999E-2</v>
      </c>
      <c r="Z75" s="35">
        <f>IFERROR(VLOOKUP($A75,[1]Morningstar!$A$2:$F$477,6,FALSE),"n/a")</f>
        <v>2.1999999999999999E-2</v>
      </c>
    </row>
    <row r="76" spans="1:26">
      <c r="A76" s="21" t="s">
        <v>572</v>
      </c>
      <c r="B76" s="174" t="s">
        <v>508</v>
      </c>
      <c r="C76" s="46" t="str">
        <f>VLOOKUP(A76,'[1]LIC List'!$A$2:$B$136,2,FALSE)</f>
        <v>Plato Income Maximiser Limited</v>
      </c>
      <c r="D76" s="24"/>
      <c r="E76" s="9"/>
      <c r="F76" s="176">
        <f>_xlfn.IFNA(VLOOKUP(A76,'[1]LIC List'!$A$2:$I$136,6,FALSE),"n/a")</f>
        <v>0.8</v>
      </c>
      <c r="G76" s="26" t="str">
        <f>_xlfn.IFNA(VLOOKUP(A76,'[1]LIC List'!$A$2:$J$112,10,FALSE),"n/a")</f>
        <v>No</v>
      </c>
      <c r="H76" s="176">
        <f>_xlfn.IFNA(VLOOKUP(A76,'[1]LIC List'!$A$2:$J$145,8,FALSE)/1000000,"n/a")</f>
        <v>304.03525400000001</v>
      </c>
      <c r="I76" s="26">
        <f>_xlfn.IFNA(VLOOKUP(A76,'[1]LIC List'!$A$2:$N$136,14,FALSE)/1000000,"n/a")</f>
        <v>-1.4830988000000118</v>
      </c>
      <c r="J76" s="177">
        <f>_xlfn.IFNA(VLOOKUP(A76,[1]IRESS!$A$10:$F$875,5,FALSE),"n/a")</f>
        <v>6907451.4450000003</v>
      </c>
      <c r="K76" s="28">
        <f>_xlfn.IFNA(VLOOKUP(A76,[1]IRESS!$A$11:$G$772,7,FALSE),"n/a")</f>
        <v>6762120</v>
      </c>
      <c r="L76" s="177">
        <f>_xlfn.IFNA(VLOOKUP(A76,[1]IRESS!$A$10:$F$875,4,FALSE),"n/a")</f>
        <v>841</v>
      </c>
      <c r="M76" s="29">
        <f t="shared" si="0"/>
        <v>2.2241236537654939E-2</v>
      </c>
      <c r="N76" s="104" t="e">
        <f>VLOOKUP(A76,[1]Spreads!$A$1:$G$87,7,FALSE)</f>
        <v>#N/A</v>
      </c>
      <c r="O76" s="178">
        <f>IFERROR(VLOOKUP(A76,'[1]LIC List'!$E$2:$R$112,14,FALSE),"n/a")</f>
        <v>-5.051449953227316E-2</v>
      </c>
      <c r="P76" s="179">
        <f>IFERROR(VLOOKUP(A76,[1]NAV!$B$3:$F$310,5,FALSE),"n/a")</f>
        <v>43251</v>
      </c>
      <c r="Q76" s="9"/>
      <c r="R76" s="180">
        <f>_xlfn.IFNA(VLOOKUP($A76,[1]IRESS!$A$11:$AE$696,6,FALSE)/100,"n/a")</f>
        <v>1.0249999999999999</v>
      </c>
      <c r="S76" s="32">
        <f>_xlfn.IFNA(VLOOKUP($A76,[1]IRESS!$A$11:$AE$696,21,FALSE)/100,"n/a")</f>
        <v>1.1399999999999999</v>
      </c>
      <c r="T76" s="180">
        <f>_xlfn.IFNA(VLOOKUP($A76,[1]IRESS!$A$11:$AE$696,22,FALSE)/100,"n/a")</f>
        <v>0.95499999999999996</v>
      </c>
      <c r="V76" s="35">
        <f>IFERROR((VLOOKUP($A76,[1]IRESS!$A$11:$AE$696,20,FALSE)/100)/R76,"n/a")</f>
        <v>4.097560975609757E-2</v>
      </c>
      <c r="W76" s="181">
        <f>IFERROR(VLOOKUP($A76,[1]Morningstar!$A$2:$F$477,3,FALSE),"n/a")</f>
        <v>4.7000000000000002E-3</v>
      </c>
      <c r="X76" s="35">
        <f>IFERROR(VLOOKUP($A76,[1]Morningstar!$A$2:$F$477,4,FALSE),"n/a")</f>
        <v>-2.5999999999999999E-2</v>
      </c>
      <c r="Y76" s="181" t="str">
        <f>IFERROR(VLOOKUP($A76,[1]Morningstar!$A$2:$F$477,5,FALSE),"n/a")</f>
        <v>n/a</v>
      </c>
      <c r="Z76" s="35" t="str">
        <f>IFERROR(VLOOKUP($A76,[1]Morningstar!$A$2:$F$477,6,FALSE),"n/a")</f>
        <v>n/a</v>
      </c>
    </row>
    <row r="77" spans="1:26">
      <c r="A77" s="21" t="s">
        <v>573</v>
      </c>
      <c r="B77" s="174" t="s">
        <v>508</v>
      </c>
      <c r="C77" s="46" t="str">
        <f>VLOOKUP(A77,'[1]LIC List'!$A$2:$B$136,2,FALSE)</f>
        <v>Thorney Opportunities Ltd</v>
      </c>
      <c r="D77" s="24"/>
      <c r="E77" s="9"/>
      <c r="F77" s="176">
        <f>_xlfn.IFNA(VLOOKUP(A77,'[1]LIC List'!$A$2:$I$136,6,FALSE),"n/a")</f>
        <v>0.75</v>
      </c>
      <c r="G77" s="26" t="str">
        <f>_xlfn.IFNA(VLOOKUP(A77,'[1]LIC List'!$A$2:$J$112,10,FALSE),"n/a")</f>
        <v>Yes</v>
      </c>
      <c r="H77" s="176">
        <f>_xlfn.IFNA(VLOOKUP(A77,'[1]LIC List'!$A$2:$J$145,8,FALSE)/1000000,"n/a")</f>
        <v>140.49726869999998</v>
      </c>
      <c r="I77" s="26">
        <f>_xlfn.IFNA(VLOOKUP(A77,'[1]LIC List'!$A$2:$N$136,14,FALSE)/1000000,"n/a")</f>
        <v>-2.0361923000000117</v>
      </c>
      <c r="J77" s="177">
        <f>_xlfn.IFNA(VLOOKUP(A77,[1]IRESS!$A$10:$F$875,5,FALSE),"n/a")</f>
        <v>2434793.8825000003</v>
      </c>
      <c r="K77" s="28">
        <f>_xlfn.IFNA(VLOOKUP(A77,[1]IRESS!$A$11:$G$772,7,FALSE),"n/a")</f>
        <v>3568614</v>
      </c>
      <c r="L77" s="177">
        <f>_xlfn.IFNA(VLOOKUP(A77,[1]IRESS!$A$10:$F$875,4,FALSE),"n/a")</f>
        <v>412</v>
      </c>
      <c r="M77" s="29">
        <f t="shared" si="0"/>
        <v>2.5399881670439908E-2</v>
      </c>
      <c r="N77" s="104" t="e">
        <f>VLOOKUP(A77,[1]Spreads!$A$1:$G$87,7,FALSE)</f>
        <v>#N/A</v>
      </c>
      <c r="O77" s="178">
        <f>IFERROR(VLOOKUP(A77,'[1]LIC List'!$E$2:$R$112,14,FALSE),"n/a")</f>
        <v>-0.15737298636926889</v>
      </c>
      <c r="P77" s="179">
        <f>IFERROR(VLOOKUP(A77,[1]NAV!$B$3:$F$310,5,FALSE),"n/a")</f>
        <v>43251</v>
      </c>
      <c r="Q77" s="9"/>
      <c r="R77" s="180">
        <f>_xlfn.IFNA(VLOOKUP($A77,[1]IRESS!$A$11:$AE$696,6,FALSE)/100,"n/a")</f>
        <v>0.69</v>
      </c>
      <c r="S77" s="32">
        <f>_xlfn.IFNA(VLOOKUP($A77,[1]IRESS!$A$11:$AE$696,21,FALSE)/100,"n/a")</f>
        <v>0.75</v>
      </c>
      <c r="T77" s="180">
        <f>_xlfn.IFNA(VLOOKUP($A77,[1]IRESS!$A$11:$AE$696,22,FALSE)/100,"n/a")</f>
        <v>0.66</v>
      </c>
      <c r="V77" s="35">
        <f>IFERROR((VLOOKUP($A77,[1]IRESS!$A$11:$AE$696,20,FALSE)/100)/R77,"n/a")</f>
        <v>1.8115942028985511E-2</v>
      </c>
      <c r="W77" s="181">
        <f>IFERROR(VLOOKUP($A77,[1]Morningstar!$A$2:$F$477,3,FALSE),"n/a")</f>
        <v>1.95E-2</v>
      </c>
      <c r="X77" s="35">
        <f>IFERROR(VLOOKUP($A77,[1]Morningstar!$A$2:$F$477,4,FALSE),"n/a")</f>
        <v>1.24E-2</v>
      </c>
      <c r="Y77" s="181">
        <f>IFERROR(VLOOKUP($A77,[1]Morningstar!$A$2:$F$477,5,FALSE),"n/a")</f>
        <v>0.1646</v>
      </c>
      <c r="Z77" s="35">
        <f>IFERROR(VLOOKUP($A77,[1]Morningstar!$A$2:$F$477,6,FALSE),"n/a")</f>
        <v>0.1537</v>
      </c>
    </row>
    <row r="78" spans="1:26">
      <c r="A78" s="21" t="s">
        <v>574</v>
      </c>
      <c r="B78" s="174" t="s">
        <v>508</v>
      </c>
      <c r="C78" s="46" t="str">
        <f>VLOOKUP(A78,'[1]LIC List'!$A$2:$B$136,2,FALSE)</f>
        <v>URB Investments Limited</v>
      </c>
      <c r="D78" s="24"/>
      <c r="E78" s="9"/>
      <c r="F78" s="176">
        <f>_xlfn.IFNA(VLOOKUP(A78,'[1]LIC List'!$A$2:$I$136,6,FALSE),"n/a")</f>
        <v>0.5</v>
      </c>
      <c r="G78" s="26" t="str">
        <f>_xlfn.IFNA(VLOOKUP(A78,'[1]LIC List'!$A$2:$J$112,10,FALSE),"n/a")</f>
        <v>Yes</v>
      </c>
      <c r="H78" s="176">
        <f>_xlfn.IFNA(VLOOKUP(A78,'[1]LIC List'!$A$2:$J$145,8,FALSE)/1000000,"n/a")</f>
        <v>65.850014700000003</v>
      </c>
      <c r="I78" s="26">
        <f>_xlfn.IFNA(VLOOKUP(A78,'[1]LIC List'!$A$2:$N$136,14,FALSE)/1000000,"n/a")</f>
        <v>-5.1216678100000026</v>
      </c>
      <c r="J78" s="177">
        <f>_xlfn.IFNA(VLOOKUP(A78,[1]IRESS!$A$10:$F$875,5,FALSE),"n/a")</f>
        <v>2497502.6524999999</v>
      </c>
      <c r="K78" s="28">
        <f>_xlfn.IFNA(VLOOKUP(A78,[1]IRESS!$A$11:$G$772,7,FALSE),"n/a")</f>
        <v>2765414</v>
      </c>
      <c r="L78" s="177">
        <f>_xlfn.IFNA(VLOOKUP(A78,[1]IRESS!$A$10:$F$875,4,FALSE),"n/a")</f>
        <v>376</v>
      </c>
      <c r="M78" s="29">
        <f t="shared" ref="M78:M137" si="1">IFERROR(+K78/(H78*1000000),"n/a")</f>
        <v>4.199564742086534E-2</v>
      </c>
      <c r="N78" s="104" t="e">
        <f>VLOOKUP(A78,[1]Spreads!$A$1:$G$87,7,FALSE)</f>
        <v>#N/A</v>
      </c>
      <c r="O78" s="178">
        <f>IFERROR(VLOOKUP(A78,'[1]LIC List'!$E$2:$R$112,14,FALSE),"n/a")</f>
        <v>-7.1428571428571397E-2</v>
      </c>
      <c r="P78" s="179">
        <f>IFERROR(VLOOKUP(A78,[1]NAV!$B$3:$F$310,5,FALSE),"n/a")</f>
        <v>43251</v>
      </c>
      <c r="Q78" s="9"/>
      <c r="R78" s="180">
        <f>_xlfn.IFNA(VLOOKUP($A78,[1]IRESS!$A$11:$AE$696,6,FALSE)/100,"n/a")</f>
        <v>0.9</v>
      </c>
      <c r="S78" s="32">
        <f>_xlfn.IFNA(VLOOKUP($A78,[1]IRESS!$A$11:$AE$696,21,FALSE)/100,"n/a")</f>
        <v>1.1000000000000001</v>
      </c>
      <c r="T78" s="180">
        <f>_xlfn.IFNA(VLOOKUP($A78,[1]IRESS!$A$11:$AE$696,22,FALSE)/100,"n/a")</f>
        <v>0.88</v>
      </c>
      <c r="V78" s="35">
        <f>IFERROR((VLOOKUP($A78,[1]IRESS!$A$11:$AE$696,20,FALSE)/100)/R78,"n/a")</f>
        <v>5.5555555555555558E-3</v>
      </c>
      <c r="W78" s="181">
        <f>IFERROR(VLOOKUP($A78,[1]Morningstar!$A$2:$F$477,3,FALSE),"n/a")</f>
        <v>-8.1500000000000003E-2</v>
      </c>
      <c r="X78" s="35">
        <f>IFERROR(VLOOKUP($A78,[1]Morningstar!$A$2:$F$477,4,FALSE),"n/a")</f>
        <v>-0.15060000000000001</v>
      </c>
      <c r="Y78" s="181" t="str">
        <f>IFERROR(VLOOKUP($A78,[1]Morningstar!$A$2:$F$477,5,FALSE),"n/a")</f>
        <v>n/a</v>
      </c>
      <c r="Z78" s="35" t="str">
        <f>IFERROR(VLOOKUP($A78,[1]Morningstar!$A$2:$F$477,6,FALSE),"n/a")</f>
        <v>n/a</v>
      </c>
    </row>
    <row r="79" spans="1:26">
      <c r="A79" s="21" t="s">
        <v>575</v>
      </c>
      <c r="B79" s="174" t="s">
        <v>508</v>
      </c>
      <c r="C79" s="46" t="str">
        <f>VLOOKUP(A79,'[1]LIC List'!$A$2:$B$136,2,FALSE)</f>
        <v>WAM Active Limited</v>
      </c>
      <c r="D79" s="24"/>
      <c r="E79" s="9"/>
      <c r="F79" s="176">
        <f>_xlfn.IFNA(VLOOKUP(A79,'[1]LIC List'!$A$2:$I$136,6,FALSE),"n/a")</f>
        <v>1</v>
      </c>
      <c r="G79" s="26" t="str">
        <f>_xlfn.IFNA(VLOOKUP(A79,'[1]LIC List'!$A$2:$J$112,10,FALSE),"n/a")</f>
        <v>Yes</v>
      </c>
      <c r="H79" s="176">
        <f>_xlfn.IFNA(VLOOKUP(A79,'[1]LIC List'!$A$2:$J$145,8,FALSE)/1000000,"n/a")</f>
        <v>45.94069545</v>
      </c>
      <c r="I79" s="26">
        <f>_xlfn.IFNA(VLOOKUP(A79,'[1]LIC List'!$A$2:$N$136,14,FALSE)/1000000,"n/a")</f>
        <v>0</v>
      </c>
      <c r="J79" s="177">
        <f>_xlfn.IFNA(VLOOKUP(A79,[1]IRESS!$A$10:$F$875,5,FALSE),"n/a")</f>
        <v>707996.3</v>
      </c>
      <c r="K79" s="28">
        <f>_xlfn.IFNA(VLOOKUP(A79,[1]IRESS!$A$11:$G$772,7,FALSE),"n/a")</f>
        <v>649123</v>
      </c>
      <c r="L79" s="177">
        <f>_xlfn.IFNA(VLOOKUP(A79,[1]IRESS!$A$10:$F$875,4,FALSE),"n/a")</f>
        <v>118</v>
      </c>
      <c r="M79" s="29">
        <f t="shared" si="1"/>
        <v>1.4129585841957469E-2</v>
      </c>
      <c r="N79" s="104" t="e">
        <f>VLOOKUP(A79,[1]Spreads!$A$1:$G$87,7,FALSE)</f>
        <v>#N/A</v>
      </c>
      <c r="O79" s="178">
        <f>IFERROR(VLOOKUP(A79,'[1]LIC List'!$E$2:$R$112,14,FALSE),"n/a")</f>
        <v>-9.1743119266056716E-3</v>
      </c>
      <c r="P79" s="179">
        <f>IFERROR(VLOOKUP(A79,[1]NAV!$B$3:$F$310,5,FALSE),"n/a")</f>
        <v>43251</v>
      </c>
      <c r="Q79" s="9"/>
      <c r="R79" s="180">
        <f>_xlfn.IFNA(VLOOKUP($A79,[1]IRESS!$A$11:$AE$696,6,FALSE)/100,"n/a")</f>
        <v>1.105</v>
      </c>
      <c r="S79" s="32">
        <f>_xlfn.IFNA(VLOOKUP($A79,[1]IRESS!$A$11:$AE$696,21,FALSE)/100,"n/a")</f>
        <v>1.175</v>
      </c>
      <c r="T79" s="180">
        <f>_xlfn.IFNA(VLOOKUP($A79,[1]IRESS!$A$11:$AE$696,22,FALSE)/100,"n/a")</f>
        <v>1.0649999999999999</v>
      </c>
      <c r="V79" s="35">
        <f>IFERROR((VLOOKUP($A79,[1]IRESS!$A$11:$AE$696,20,FALSE)/100)/R79,"n/a")</f>
        <v>5.0678733031674202E-2</v>
      </c>
      <c r="W79" s="181">
        <f>IFERROR(VLOOKUP($A79,[1]Morningstar!$A$2:$F$477,3,FALSE),"n/a")</f>
        <v>9.1000000000000004E-3</v>
      </c>
      <c r="X79" s="35">
        <f>IFERROR(VLOOKUP($A79,[1]Morningstar!$A$2:$F$477,4,FALSE),"n/a")</f>
        <v>5.5300000000000002E-2</v>
      </c>
      <c r="Y79" s="181">
        <f>IFERROR(VLOOKUP($A79,[1]Morningstar!$A$2:$F$477,5,FALSE),"n/a")</f>
        <v>0.1033</v>
      </c>
      <c r="Z79" s="35">
        <f>IFERROR(VLOOKUP($A79,[1]Morningstar!$A$2:$F$477,6,FALSE),"n/a")</f>
        <v>6.6900000000000001E-2</v>
      </c>
    </row>
    <row r="80" spans="1:26">
      <c r="A80" s="21" t="s">
        <v>576</v>
      </c>
      <c r="B80" s="174" t="s">
        <v>508</v>
      </c>
      <c r="C80" s="46" t="str">
        <f>VLOOKUP(A80,'[1]LIC List'!$A$2:$B$136,2,FALSE)</f>
        <v>Wealth Defender Equities Limited</v>
      </c>
      <c r="D80" s="24"/>
      <c r="E80" s="9"/>
      <c r="F80" s="176">
        <f>_xlfn.IFNA(VLOOKUP(A80,'[1]LIC List'!$A$2:$I$136,6,FALSE),"n/a")</f>
        <v>0.98</v>
      </c>
      <c r="G80" s="26" t="str">
        <f>_xlfn.IFNA(VLOOKUP(A80,'[1]LIC List'!$A$2:$J$112,10,FALSE),"n/a")</f>
        <v>Yes</v>
      </c>
      <c r="H80" s="176">
        <f>_xlfn.IFNA(VLOOKUP(A80,'[1]LIC List'!$A$2:$J$145,8,FALSE)/1000000,"n/a")</f>
        <v>107.59518025</v>
      </c>
      <c r="I80" s="26">
        <f>_xlfn.IFNA(VLOOKUP(A80,'[1]LIC List'!$A$2:$N$136,14,FALSE)/1000000,"n/a")</f>
        <v>1.1272323700000049</v>
      </c>
      <c r="J80" s="177">
        <f>_xlfn.IFNA(VLOOKUP(A80,[1]IRESS!$A$10:$F$875,5,FALSE),"n/a")</f>
        <v>2357241.56</v>
      </c>
      <c r="K80" s="28">
        <f>_xlfn.IFNA(VLOOKUP(A80,[1]IRESS!$A$11:$G$772,7,FALSE),"n/a")</f>
        <v>2810244</v>
      </c>
      <c r="L80" s="177">
        <f>_xlfn.IFNA(VLOOKUP(A80,[1]IRESS!$A$10:$F$875,4,FALSE),"n/a")</f>
        <v>229</v>
      </c>
      <c r="M80" s="29">
        <f t="shared" si="1"/>
        <v>2.6118679233310731E-2</v>
      </c>
      <c r="N80" s="104" t="e">
        <f>VLOOKUP(A80,[1]Spreads!$A$1:$G$87,7,FALSE)</f>
        <v>#N/A</v>
      </c>
      <c r="O80" s="178">
        <f>IFERROR(VLOOKUP(A80,'[1]LIC List'!$E$2:$R$112,14,FALSE),"n/a")</f>
        <v>-9.6579909657990903E-2</v>
      </c>
      <c r="P80" s="179">
        <f>IFERROR(VLOOKUP(A80,[1]NAV!$B$3:$F$310,5,FALSE),"n/a")</f>
        <v>43251</v>
      </c>
      <c r="Q80" s="9"/>
      <c r="R80" s="180">
        <f>_xlfn.IFNA(VLOOKUP($A80,[1]IRESS!$A$11:$AE$696,6,FALSE)/100,"n/a")</f>
        <v>0.84499999999999997</v>
      </c>
      <c r="S80" s="32">
        <f>_xlfn.IFNA(VLOOKUP($A80,[1]IRESS!$A$11:$AE$696,21,FALSE)/100,"n/a")</f>
        <v>0.93500000000000005</v>
      </c>
      <c r="T80" s="180">
        <f>_xlfn.IFNA(VLOOKUP($A80,[1]IRESS!$A$11:$AE$696,22,FALSE)/100,"n/a")</f>
        <v>0.79500000000000004</v>
      </c>
      <c r="V80" s="35">
        <f>IFERROR((VLOOKUP($A80,[1]IRESS!$A$11:$AE$696,20,FALSE)/100)/R80,"n/a")</f>
        <v>3.5502958579881658E-2</v>
      </c>
      <c r="W80" s="181">
        <f>IFERROR(VLOOKUP($A80,[1]Morningstar!$A$2:$F$477,3,FALSE),"n/a")</f>
        <v>0</v>
      </c>
      <c r="X80" s="35">
        <f>IFERROR(VLOOKUP($A80,[1]Morningstar!$A$2:$F$477,4,FALSE),"n/a")</f>
        <v>0.1075</v>
      </c>
      <c r="Y80" s="181">
        <f>IFERROR(VLOOKUP($A80,[1]Morningstar!$A$2:$F$477,5,FALSE),"n/a")</f>
        <v>-2.29E-2</v>
      </c>
      <c r="Z80" s="35" t="str">
        <f>IFERROR(VLOOKUP($A80,[1]Morningstar!$A$2:$F$477,6,FALSE),"n/a")</f>
        <v>n/a</v>
      </c>
    </row>
    <row r="81" spans="1:26">
      <c r="A81" s="21" t="s">
        <v>577</v>
      </c>
      <c r="B81" s="174" t="s">
        <v>508</v>
      </c>
      <c r="C81" s="46" t="str">
        <f>VLOOKUP(A81,'[1]LIC List'!$A$2:$B$136,2,FALSE)</f>
        <v>Watermark Market Neutral Fund Limited</v>
      </c>
      <c r="D81" s="24"/>
      <c r="E81" s="9"/>
      <c r="F81" s="176">
        <f>_xlfn.IFNA(VLOOKUP(A81,'[1]LIC List'!$A$2:$I$136,6,FALSE),"n/a")</f>
        <v>1</v>
      </c>
      <c r="G81" s="26" t="str">
        <f>_xlfn.IFNA(VLOOKUP(A81,'[1]LIC List'!$A$2:$J$112,10,FALSE),"n/a")</f>
        <v>Yes</v>
      </c>
      <c r="H81" s="176">
        <f>_xlfn.IFNA(VLOOKUP(A81,'[1]LIC List'!$A$2:$J$145,8,FALSE)/1000000,"n/a")</f>
        <v>70.066005600000011</v>
      </c>
      <c r="I81" s="26">
        <f>_xlfn.IFNA(VLOOKUP(A81,'[1]LIC List'!$A$2:$N$136,14,FALSE)/1000000,"n/a")</f>
        <v>-2.6274752099999934</v>
      </c>
      <c r="J81" s="177">
        <f>_xlfn.IFNA(VLOOKUP(A81,[1]IRESS!$A$10:$F$875,5,FALSE),"n/a")</f>
        <v>2515274.98</v>
      </c>
      <c r="K81" s="28">
        <f>_xlfn.IFNA(VLOOKUP(A81,[1]IRESS!$A$11:$G$772,7,FALSE),"n/a")</f>
        <v>3105145</v>
      </c>
      <c r="L81" s="177">
        <f>_xlfn.IFNA(VLOOKUP(A81,[1]IRESS!$A$10:$F$875,4,FALSE),"n/a")</f>
        <v>299</v>
      </c>
      <c r="M81" s="29">
        <f t="shared" si="1"/>
        <v>4.4317425738909247E-2</v>
      </c>
      <c r="N81" s="104" t="e">
        <f>VLOOKUP(A81,[1]Spreads!$A$1:$G$87,7,FALSE)</f>
        <v>#N/A</v>
      </c>
      <c r="O81" s="178">
        <f>IFERROR(VLOOKUP(A81,'[1]LIC List'!$E$2:$R$112,14,FALSE),"n/a")</f>
        <v>-0.13541666666666663</v>
      </c>
      <c r="P81" s="179">
        <f>IFERROR(VLOOKUP(A81,[1]NAV!$B$3:$F$310,5,FALSE),"n/a")</f>
        <v>43251</v>
      </c>
      <c r="Q81" s="9"/>
      <c r="R81" s="180">
        <f>_xlfn.IFNA(VLOOKUP($A81,[1]IRESS!$A$11:$AE$696,6,FALSE)/100,"n/a")</f>
        <v>0.8</v>
      </c>
      <c r="S81" s="32">
        <f>_xlfn.IFNA(VLOOKUP($A81,[1]IRESS!$A$11:$AE$696,21,FALSE)/100,"n/a")</f>
        <v>1.02</v>
      </c>
      <c r="T81" s="180">
        <f>_xlfn.IFNA(VLOOKUP($A81,[1]IRESS!$A$11:$AE$696,22,FALSE)/100,"n/a")</f>
        <v>0.76</v>
      </c>
      <c r="V81" s="35">
        <f>IFERROR((VLOOKUP($A81,[1]IRESS!$A$11:$AE$696,20,FALSE)/100)/R81,"n/a")</f>
        <v>4.3750000000000004E-2</v>
      </c>
      <c r="W81" s="181">
        <f>IFERROR(VLOOKUP($A81,[1]Morningstar!$A$2:$F$477,3,FALSE),"n/a")</f>
        <v>-3.6200000000000003E-2</v>
      </c>
      <c r="X81" s="35">
        <f>IFERROR(VLOOKUP($A81,[1]Morningstar!$A$2:$F$477,4,FALSE),"n/a")</f>
        <v>-0.1764</v>
      </c>
      <c r="Y81" s="181">
        <f>IFERROR(VLOOKUP($A81,[1]Morningstar!$A$2:$F$477,5,FALSE),"n/a")</f>
        <v>4.9000000000000002E-2</v>
      </c>
      <c r="Z81" s="35" t="str">
        <f>IFERROR(VLOOKUP($A81,[1]Morningstar!$A$2:$F$477,6,FALSE),"n/a")</f>
        <v>n/a</v>
      </c>
    </row>
    <row r="82" spans="1:26" s="167" customFormat="1">
      <c r="A82" s="173" t="s">
        <v>79</v>
      </c>
      <c r="B82" s="182"/>
      <c r="C82" s="182"/>
      <c r="D82" s="182"/>
      <c r="E82" s="9"/>
      <c r="F82" s="183"/>
      <c r="G82" s="183"/>
      <c r="H82" s="183"/>
      <c r="I82" s="183"/>
      <c r="J82" s="184"/>
      <c r="K82" s="184"/>
      <c r="L82" s="184"/>
      <c r="M82" s="185"/>
      <c r="N82" s="186"/>
      <c r="O82" s="187"/>
      <c r="P82" s="188"/>
      <c r="Q82" s="9"/>
      <c r="R82" s="189"/>
      <c r="S82" s="189"/>
      <c r="T82" s="189"/>
      <c r="U82" s="7"/>
      <c r="V82" s="190"/>
      <c r="W82" s="191"/>
      <c r="X82" s="191"/>
      <c r="Y82" s="191"/>
      <c r="Z82" s="182"/>
    </row>
    <row r="83" spans="1:26">
      <c r="A83" s="21" t="s">
        <v>578</v>
      </c>
      <c r="B83" s="174" t="s">
        <v>529</v>
      </c>
      <c r="C83" s="46" t="str">
        <f>VLOOKUP(A83,'[1]LIC List'!$A$2:$B$136,2,FALSE)</f>
        <v>Aurora Global Income Trust</v>
      </c>
      <c r="D83" s="24"/>
      <c r="E83" s="9"/>
      <c r="F83" s="176">
        <f>_xlfn.IFNA(VLOOKUP(A83,'[1]LIC List'!$A$2:$I$136,6,FALSE),"n/a")</f>
        <v>1.33</v>
      </c>
      <c r="G83" s="26" t="str">
        <f>_xlfn.IFNA(VLOOKUP(A83,'[1]LIC List'!$A$2:$J$112,10,FALSE),"n/a")</f>
        <v>No</v>
      </c>
      <c r="H83" s="176">
        <f>_xlfn.IFNA(VLOOKUP(A83,'[1]LIC List'!$A$2:$J$145,8,FALSE)/1000000,"n/a")</f>
        <v>2.1507205099999998</v>
      </c>
      <c r="I83" s="26">
        <f>_xlfn.IFNA(VLOOKUP(A83,'[1]LIC List'!$A$2:$N$136,14,FALSE)/1000000,"n/a")</f>
        <v>-0.21871734000000032</v>
      </c>
      <c r="J83" s="177">
        <f>_xlfn.IFNA(VLOOKUP(A83,[1]IRESS!$A$10:$F$875,5,FALSE),"n/a")</f>
        <v>47062.664999999994</v>
      </c>
      <c r="K83" s="28">
        <f>_xlfn.IFNA(VLOOKUP(A83,[1]IRESS!$A$11:$G$772,7,FALSE),"n/a")</f>
        <v>153141</v>
      </c>
      <c r="L83" s="177">
        <f>_xlfn.IFNA(VLOOKUP(A83,[1]IRESS!$A$10:$F$875,4,FALSE),"n/a")</f>
        <v>29</v>
      </c>
      <c r="M83" s="29">
        <f t="shared" si="1"/>
        <v>7.1204509971404886E-2</v>
      </c>
      <c r="N83" s="104" t="e">
        <f>VLOOKUP(A83,[1]Spreads!$A$1:$G$87,7,FALSE)</f>
        <v>#N/A</v>
      </c>
      <c r="O83" s="178">
        <f>IFERROR(VLOOKUP(A83,'[1]LIC List'!$E$2:$R$112,14,FALSE),"n/a")</f>
        <v>-0.30900453465774136</v>
      </c>
      <c r="P83" s="179">
        <f>IFERROR(VLOOKUP(A83,[1]NAV!$B$3:$F$310,5,FALSE),"n/a")</f>
        <v>43251</v>
      </c>
      <c r="Q83" s="9"/>
      <c r="R83" s="180">
        <f>_xlfn.IFNA(VLOOKUP($A83,[1]IRESS!$A$11:$AE$696,6,FALSE)/100,"n/a")</f>
        <v>0.29499999999999998</v>
      </c>
      <c r="S83" s="32">
        <f>_xlfn.IFNA(VLOOKUP($A83,[1]IRESS!$A$11:$AE$696,21,FALSE)/100,"n/a")</f>
        <v>0.7</v>
      </c>
      <c r="T83" s="180">
        <f>_xlfn.IFNA(VLOOKUP($A83,[1]IRESS!$A$11:$AE$696,22,FALSE)/100,"n/a")</f>
        <v>0.29499999999999998</v>
      </c>
      <c r="V83" s="35">
        <f>IFERROR((VLOOKUP($A83,[1]IRESS!$A$11:$AE$696,20,FALSE)/100)/R83,"n/a")</f>
        <v>0.12983050847457625</v>
      </c>
      <c r="W83" s="181">
        <f>IFERROR(VLOOKUP($A83,[1]Morningstar!$A$2:$F$477,3,FALSE),"n/a")</f>
        <v>-7.1099999999999997E-2</v>
      </c>
      <c r="X83" s="35">
        <f>IFERROR(VLOOKUP($A83,[1]Morningstar!$A$2:$F$477,4,FALSE),"n/a")</f>
        <v>-0.60940000000000005</v>
      </c>
      <c r="Y83" s="181">
        <f>IFERROR(VLOOKUP($A83,[1]Morningstar!$A$2:$F$477,5,FALSE),"n/a")</f>
        <v>-0.25009999999999999</v>
      </c>
      <c r="Z83" s="35">
        <f>IFERROR(VLOOKUP($A83,[1]Morningstar!$A$2:$F$477,6,FALSE),"n/a")</f>
        <v>-0.14660000000000001</v>
      </c>
    </row>
    <row r="84" spans="1:26">
      <c r="A84" s="21" t="s">
        <v>579</v>
      </c>
      <c r="B84" s="174" t="s">
        <v>508</v>
      </c>
      <c r="C84" s="46" t="str">
        <f>VLOOKUP(A84,'[1]LIC List'!$A$2:$B$136,2,FALSE)</f>
        <v>Antipodes Global Investment Company Ltd</v>
      </c>
      <c r="D84" s="24"/>
      <c r="E84" s="9"/>
      <c r="F84" s="176">
        <f>_xlfn.IFNA(VLOOKUP(A84,'[1]LIC List'!$A$2:$I$136,6,FALSE),"n/a")</f>
        <v>1.1274999999999999</v>
      </c>
      <c r="G84" s="26" t="str">
        <f>_xlfn.IFNA(VLOOKUP(A84,'[1]LIC List'!$A$2:$J$112,10,FALSE),"n/a")</f>
        <v>Yes</v>
      </c>
      <c r="H84" s="176">
        <f>_xlfn.IFNA(VLOOKUP(A84,'[1]LIC List'!$A$2:$J$145,8,FALSE)/1000000,"n/a")</f>
        <v>433.36167171999995</v>
      </c>
      <c r="I84" s="26">
        <f>_xlfn.IFNA(VLOOKUP(A84,'[1]LIC List'!$A$2:$N$136,14,FALSE)/1000000,"n/a")</f>
        <v>7.5337206200000049</v>
      </c>
      <c r="J84" s="177">
        <f>_xlfn.IFNA(VLOOKUP(A84,[1]IRESS!$A$10:$F$875,5,FALSE),"n/a")</f>
        <v>12605153.855000002</v>
      </c>
      <c r="K84" s="28">
        <f>_xlfn.IFNA(VLOOKUP(A84,[1]IRESS!$A$11:$G$772,7,FALSE),"n/a")</f>
        <v>10654001</v>
      </c>
      <c r="L84" s="177">
        <f>_xlfn.IFNA(VLOOKUP(A84,[1]IRESS!$A$10:$F$875,4,FALSE),"n/a")</f>
        <v>1316</v>
      </c>
      <c r="M84" s="29">
        <f t="shared" si="1"/>
        <v>2.4584548415909919E-2</v>
      </c>
      <c r="N84" s="104" t="e">
        <f>VLOOKUP(A84,[1]Spreads!$A$1:$G$87,7,FALSE)</f>
        <v>#N/A</v>
      </c>
      <c r="O84" s="178">
        <f>IFERROR(VLOOKUP(A84,'[1]LIC List'!$E$2:$R$112,14,FALSE),"n/a")</f>
        <v>-5.1036682615629991E-2</v>
      </c>
      <c r="P84" s="179">
        <f>IFERROR(VLOOKUP(A84,[1]NAV!$B$3:$F$310,5,FALSE),"n/a")</f>
        <v>43251</v>
      </c>
      <c r="Q84" s="9"/>
      <c r="R84" s="180">
        <f>_xlfn.IFNA(VLOOKUP($A84,[1]IRESS!$A$11:$AE$696,6,FALSE)/100,"n/a")</f>
        <v>1.18</v>
      </c>
      <c r="S84" s="32">
        <f>_xlfn.IFNA(VLOOKUP($A84,[1]IRESS!$A$11:$AE$696,21,FALSE)/100,"n/a")</f>
        <v>1.37</v>
      </c>
      <c r="T84" s="180">
        <f>_xlfn.IFNA(VLOOKUP($A84,[1]IRESS!$A$11:$AE$696,22,FALSE)/100,"n/a")</f>
        <v>1.1499999999999999</v>
      </c>
      <c r="V84" s="35">
        <f>IFERROR((VLOOKUP($A84,[1]IRESS!$A$11:$AE$696,20,FALSE)/100)/R84,"n/a")</f>
        <v>0</v>
      </c>
      <c r="W84" s="181">
        <f>IFERROR(VLOOKUP($A84,[1]Morningstar!$A$2:$F$477,3,FALSE),"n/a")</f>
        <v>-8.2000000000000007E-3</v>
      </c>
      <c r="X84" s="35">
        <f>IFERROR(VLOOKUP($A84,[1]Morningstar!$A$2:$F$477,4,FALSE),"n/a")</f>
        <v>-5.2200000000000003E-2</v>
      </c>
      <c r="Y84" s="181" t="str">
        <f>IFERROR(VLOOKUP($A84,[1]Morningstar!$A$2:$F$477,5,FALSE),"n/a")</f>
        <v>n/a</v>
      </c>
      <c r="Z84" s="35" t="str">
        <f>IFERROR(VLOOKUP($A84,[1]Morningstar!$A$2:$F$477,6,FALSE),"n/a")</f>
        <v>n/a</v>
      </c>
    </row>
    <row r="85" spans="1:26">
      <c r="A85" s="21" t="s">
        <v>580</v>
      </c>
      <c r="B85" s="174" t="s">
        <v>529</v>
      </c>
      <c r="C85" s="46" t="str">
        <f>VLOOKUP(A85,'[1]LIC List'!$A$2:$B$136,2,FALSE)</f>
        <v>Evans &amp; Partners Global Disruption Fund</v>
      </c>
      <c r="D85" s="24"/>
      <c r="E85" s="9"/>
      <c r="F85" s="176">
        <f>_xlfn.IFNA(VLOOKUP(A85,'[1]LIC List'!$A$2:$I$136,6,FALSE),"n/a")</f>
        <v>1.5448</v>
      </c>
      <c r="G85" s="26" t="str">
        <f>_xlfn.IFNA(VLOOKUP(A85,'[1]LIC List'!$A$2:$J$112,10,FALSE),"n/a")</f>
        <v>No</v>
      </c>
      <c r="H85" s="176">
        <f>_xlfn.IFNA(VLOOKUP(A85,'[1]LIC List'!$A$2:$J$145,8,FALSE)/1000000,"n/a")</f>
        <v>262.14381946999998</v>
      </c>
      <c r="I85" s="26">
        <f>_xlfn.IFNA(VLOOKUP(A85,'[1]LIC List'!$A$2:$N$136,14,FALSE)/1000000,"n/a")</f>
        <v>8.6967143899999861</v>
      </c>
      <c r="J85" s="177">
        <f>_xlfn.IFNA(VLOOKUP(A85,[1]IRESS!$A$10:$F$875,5,FALSE),"n/a")</f>
        <v>2500947.65</v>
      </c>
      <c r="K85" s="28">
        <f>_xlfn.IFNA(VLOOKUP(A85,[1]IRESS!$A$11:$G$772,7,FALSE),"n/a")</f>
        <v>1182793</v>
      </c>
      <c r="L85" s="177">
        <f>_xlfn.IFNA(VLOOKUP(A85,[1]IRESS!$A$10:$F$875,4,FALSE),"n/a")</f>
        <v>243</v>
      </c>
      <c r="M85" s="29">
        <f t="shared" si="1"/>
        <v>4.5120003301674641E-3</v>
      </c>
      <c r="N85" s="104" t="e">
        <f>VLOOKUP(A85,[1]Spreads!$A$1:$G$87,7,FALSE)</f>
        <v>#N/A</v>
      </c>
      <c r="O85" s="178">
        <f>IFERROR(VLOOKUP(A85,'[1]LIC List'!$E$2:$R$112,14,FALSE),"n/a")</f>
        <v>-4.9019607843138191E-3</v>
      </c>
      <c r="P85" s="179">
        <f>IFERROR(VLOOKUP(A85,[1]NAV!$B$3:$F$310,5,FALSE),"n/a")</f>
        <v>43251</v>
      </c>
      <c r="Q85" s="9"/>
      <c r="R85" s="180">
        <f>_xlfn.IFNA(VLOOKUP($A85,[1]IRESS!$A$11:$AE$696,6,FALSE)/100,"n/a")</f>
        <v>2.11</v>
      </c>
      <c r="S85" s="32">
        <f>_xlfn.IFNA(VLOOKUP($A85,[1]IRESS!$A$11:$AE$696,21,FALSE)/100,"n/a")</f>
        <v>2.2400000000000002</v>
      </c>
      <c r="T85" s="180">
        <f>_xlfn.IFNA(VLOOKUP($A85,[1]IRESS!$A$11:$AE$696,22,FALSE)/100,"n/a")</f>
        <v>1.6</v>
      </c>
      <c r="V85" s="35">
        <f>IFERROR((VLOOKUP($A85,[1]IRESS!$A$11:$AE$696,20,FALSE)/100)/R85,"n/a")</f>
        <v>1.8957345971563982E-2</v>
      </c>
      <c r="W85" s="181">
        <f>IFERROR(VLOOKUP($A85,[1]Morningstar!$A$2:$F$477,3,FALSE),"n/a")</f>
        <v>5.8799999999999998E-2</v>
      </c>
      <c r="X85" s="35" t="str">
        <f>IFERROR(VLOOKUP($A85,[1]Morningstar!$A$2:$F$477,4,FALSE),"n/a")</f>
        <v>n/a</v>
      </c>
      <c r="Y85" s="181" t="str">
        <f>IFERROR(VLOOKUP($A85,[1]Morningstar!$A$2:$F$477,5,FALSE),"n/a")</f>
        <v>n/a</v>
      </c>
      <c r="Z85" s="35" t="str">
        <f>IFERROR(VLOOKUP($A85,[1]Morningstar!$A$2:$F$477,6,FALSE),"n/a")</f>
        <v>n/a</v>
      </c>
    </row>
    <row r="86" spans="1:26">
      <c r="A86" s="21" t="s">
        <v>581</v>
      </c>
      <c r="B86" s="174" t="s">
        <v>508</v>
      </c>
      <c r="C86" s="46" t="str">
        <f>VLOOKUP(A86,'[1]LIC List'!$A$2:$B$136,2,FALSE)</f>
        <v>Ellerston Global Investments Limited</v>
      </c>
      <c r="D86" s="24"/>
      <c r="E86" s="9"/>
      <c r="F86" s="176">
        <f>_xlfn.IFNA(VLOOKUP(A86,'[1]LIC List'!$A$2:$I$136,6,FALSE),"n/a")</f>
        <v>0.75</v>
      </c>
      <c r="G86" s="26" t="str">
        <f>_xlfn.IFNA(VLOOKUP(A86,'[1]LIC List'!$A$2:$J$112,10,FALSE),"n/a")</f>
        <v>Yes</v>
      </c>
      <c r="H86" s="176">
        <f>_xlfn.IFNA(VLOOKUP(A86,'[1]LIC List'!$A$2:$J$145,8,FALSE)/1000000,"n/a")</f>
        <v>117.28933079000001</v>
      </c>
      <c r="I86" s="26">
        <f>_xlfn.IFNA(VLOOKUP(A86,'[1]LIC List'!$A$2:$N$136,14,FALSE)/1000000,"n/a")</f>
        <v>1.6442429550000131</v>
      </c>
      <c r="J86" s="177">
        <f>_xlfn.IFNA(VLOOKUP(A86,[1]IRESS!$A$10:$F$875,5,FALSE),"n/a")</f>
        <v>2806428.1399999997</v>
      </c>
      <c r="K86" s="28">
        <f>_xlfn.IFNA(VLOOKUP(A86,[1]IRESS!$A$11:$G$772,7,FALSE),"n/a")</f>
        <v>2584689</v>
      </c>
      <c r="L86" s="177">
        <f>_xlfn.IFNA(VLOOKUP(A86,[1]IRESS!$A$10:$F$875,4,FALSE),"n/a")</f>
        <v>229</v>
      </c>
      <c r="M86" s="29">
        <f t="shared" si="1"/>
        <v>2.2036863733392267E-2</v>
      </c>
      <c r="N86" s="104" t="e">
        <f>VLOOKUP(A86,[1]Spreads!$A$1:$G$87,7,FALSE)</f>
        <v>#N/A</v>
      </c>
      <c r="O86" s="178">
        <f>IFERROR(VLOOKUP(A86,'[1]LIC List'!$E$2:$R$112,14,FALSE),"n/a")</f>
        <v>-6.6272908885607551E-2</v>
      </c>
      <c r="P86" s="179">
        <f>IFERROR(VLOOKUP(A86,[1]NAV!$B$3:$F$310,5,FALSE),"n/a")</f>
        <v>43251</v>
      </c>
      <c r="Q86" s="9"/>
      <c r="R86" s="180">
        <f>_xlfn.IFNA(VLOOKUP($A86,[1]IRESS!$A$11:$AE$696,6,FALSE)/100,"n/a")</f>
        <v>1.07</v>
      </c>
      <c r="S86" s="32">
        <f>_xlfn.IFNA(VLOOKUP($A86,[1]IRESS!$A$11:$AE$696,21,FALSE)/100,"n/a")</f>
        <v>1.18</v>
      </c>
      <c r="T86" s="180">
        <f>_xlfn.IFNA(VLOOKUP($A86,[1]IRESS!$A$11:$AE$696,22,FALSE)/100,"n/a")</f>
        <v>0.995</v>
      </c>
      <c r="V86" s="35">
        <f>IFERROR((VLOOKUP($A86,[1]IRESS!$A$11:$AE$696,20,FALSE)/100)/R86,"n/a")</f>
        <v>2.803738317757009E-2</v>
      </c>
      <c r="W86" s="181">
        <f>IFERROR(VLOOKUP($A86,[1]Morningstar!$A$2:$F$477,3,FALSE),"n/a")</f>
        <v>0</v>
      </c>
      <c r="X86" s="35">
        <f>IFERROR(VLOOKUP($A86,[1]Morningstar!$A$2:$F$477,4,FALSE),"n/a")</f>
        <v>0.1003</v>
      </c>
      <c r="Y86" s="181">
        <f>IFERROR(VLOOKUP($A86,[1]Morningstar!$A$2:$F$477,5,FALSE),"n/a")</f>
        <v>2E-3</v>
      </c>
      <c r="Z86" s="35" t="str">
        <f>IFERROR(VLOOKUP($A86,[1]Morningstar!$A$2:$F$477,6,FALSE),"n/a")</f>
        <v>n/a</v>
      </c>
    </row>
    <row r="87" spans="1:26">
      <c r="A87" s="21" t="s">
        <v>582</v>
      </c>
      <c r="B87" s="174" t="s">
        <v>508</v>
      </c>
      <c r="C87" s="46" t="str">
        <f>VLOOKUP(A87,'[1]LIC List'!$A$2:$B$136,2,FALSE)</f>
        <v>Future Generation Global Investment Company Limited</v>
      </c>
      <c r="D87" s="24"/>
      <c r="E87" s="9"/>
      <c r="F87" s="176">
        <f>_xlfn.IFNA(VLOOKUP(A87,'[1]LIC List'!$A$2:$I$136,6,FALSE),"n/a")</f>
        <v>1</v>
      </c>
      <c r="G87" s="26" t="str">
        <f>_xlfn.IFNA(VLOOKUP(A87,'[1]LIC List'!$A$2:$J$112,10,FALSE),"n/a")</f>
        <v>No</v>
      </c>
      <c r="H87" s="176">
        <f>_xlfn.IFNA(VLOOKUP(A87,'[1]LIC List'!$A$2:$J$145,8,FALSE)/1000000,"n/a")</f>
        <v>402.71283679999999</v>
      </c>
      <c r="I87" s="26">
        <f>_xlfn.IFNA(VLOOKUP(A87,'[1]LIC List'!$A$2:$N$136,14,FALSE)/1000000,"n/a")</f>
        <v>13.325057100000024</v>
      </c>
      <c r="J87" s="177">
        <f>_xlfn.IFNA(VLOOKUP(A87,[1]IRESS!$A$10:$F$875,5,FALSE),"n/a")</f>
        <v>5107353.9050000003</v>
      </c>
      <c r="K87" s="28">
        <f>_xlfn.IFNA(VLOOKUP(A87,[1]IRESS!$A$11:$G$772,7,FALSE),"n/a")</f>
        <v>3830699</v>
      </c>
      <c r="L87" s="177">
        <f>_xlfn.IFNA(VLOOKUP(A87,[1]IRESS!$A$10:$F$875,4,FALSE),"n/a")</f>
        <v>711</v>
      </c>
      <c r="M87" s="29">
        <f t="shared" si="1"/>
        <v>9.5122346494816278E-3</v>
      </c>
      <c r="N87" s="104" t="e">
        <f>VLOOKUP(A87,[1]Spreads!$A$1:$G$87,7,FALSE)</f>
        <v>#N/A</v>
      </c>
      <c r="O87" s="178">
        <f>IFERROR(VLOOKUP(A87,'[1]LIC List'!$E$2:$R$112,14,FALSE),"n/a")</f>
        <v>0</v>
      </c>
      <c r="P87" s="179">
        <f>IFERROR(VLOOKUP(A87,[1]NAV!$B$3:$F$310,5,FALSE),"n/a")</f>
        <v>43251</v>
      </c>
      <c r="Q87" s="9"/>
      <c r="R87" s="180">
        <f>_xlfn.IFNA(VLOOKUP($A87,[1]IRESS!$A$11:$AE$696,6,FALSE)/100,"n/a")</f>
        <v>1.36</v>
      </c>
      <c r="S87" s="32">
        <f>_xlfn.IFNA(VLOOKUP($A87,[1]IRESS!$A$11:$AE$696,21,FALSE)/100,"n/a")</f>
        <v>1.39</v>
      </c>
      <c r="T87" s="180">
        <f>_xlfn.IFNA(VLOOKUP($A87,[1]IRESS!$A$11:$AE$696,22,FALSE)/100,"n/a")</f>
        <v>1.08</v>
      </c>
      <c r="V87" s="35">
        <f>IFERROR((VLOOKUP($A87,[1]IRESS!$A$11:$AE$696,20,FALSE)/100)/R87,"n/a")</f>
        <v>7.3529411764705881E-3</v>
      </c>
      <c r="W87" s="181">
        <f>IFERROR(VLOOKUP($A87,[1]Morningstar!$A$2:$F$477,3,FALSE),"n/a")</f>
        <v>1.8700000000000001E-2</v>
      </c>
      <c r="X87" s="35">
        <f>IFERROR(VLOOKUP($A87,[1]Morningstar!$A$2:$F$477,4,FALSE),"n/a")</f>
        <v>0.27039999999999997</v>
      </c>
      <c r="Y87" s="181" t="str">
        <f>IFERROR(VLOOKUP($A87,[1]Morningstar!$A$2:$F$477,5,FALSE),"n/a")</f>
        <v>n/a</v>
      </c>
      <c r="Z87" s="35" t="str">
        <f>IFERROR(VLOOKUP($A87,[1]Morningstar!$A$2:$F$477,6,FALSE),"n/a")</f>
        <v>n/a</v>
      </c>
    </row>
    <row r="88" spans="1:26">
      <c r="A88" s="21" t="s">
        <v>583</v>
      </c>
      <c r="B88" s="174" t="s">
        <v>508</v>
      </c>
      <c r="C88" s="46" t="str">
        <f>VLOOKUP(A88,'[1]LIC List'!$A$2:$B$136,2,FALSE)</f>
        <v>Fat Prophets Global Contrarian Fund Ltd</v>
      </c>
      <c r="D88" s="24"/>
      <c r="E88" s="9"/>
      <c r="F88" s="176">
        <f>_xlfn.IFNA(VLOOKUP(A88,'[1]LIC List'!$A$2:$I$136,6,FALSE),"n/a")</f>
        <v>1.25</v>
      </c>
      <c r="G88" s="26" t="str">
        <f>_xlfn.IFNA(VLOOKUP(A88,'[1]LIC List'!$A$2:$J$112,10,FALSE),"n/a")</f>
        <v>Yes</v>
      </c>
      <c r="H88" s="176">
        <f>_xlfn.IFNA(VLOOKUP(A88,'[1]LIC List'!$A$2:$J$145,8,FALSE)/1000000,"n/a")</f>
        <v>41.802818309999999</v>
      </c>
      <c r="I88" s="26">
        <f>_xlfn.IFNA(VLOOKUP(A88,'[1]LIC List'!$A$2:$N$136,14,FALSE)/1000000,"n/a")</f>
        <v>-2.696956019999996</v>
      </c>
      <c r="J88" s="177">
        <f>_xlfn.IFNA(VLOOKUP(A88,[1]IRESS!$A$10:$F$875,5,FALSE),"n/a")</f>
        <v>1110122.8850000002</v>
      </c>
      <c r="K88" s="28">
        <f>_xlfn.IFNA(VLOOKUP(A88,[1]IRESS!$A$11:$G$772,7,FALSE),"n/a")</f>
        <v>1142610</v>
      </c>
      <c r="L88" s="177">
        <f>_xlfn.IFNA(VLOOKUP(A88,[1]IRESS!$A$10:$F$875,4,FALSE),"n/a")</f>
        <v>155</v>
      </c>
      <c r="M88" s="29">
        <f t="shared" si="1"/>
        <v>2.7333324550671903E-2</v>
      </c>
      <c r="N88" s="104" t="e">
        <f>VLOOKUP(A88,[1]Spreads!$A$1:$G$87,7,FALSE)</f>
        <v>#N/A</v>
      </c>
      <c r="O88" s="178">
        <f>IFERROR(VLOOKUP(A88,'[1]LIC List'!$E$2:$R$112,14,FALSE),"n/a")</f>
        <v>-0.14780063699750368</v>
      </c>
      <c r="P88" s="179">
        <f>IFERROR(VLOOKUP(A88,[1]NAV!$B$3:$F$310,5,FALSE),"n/a")</f>
        <v>43251</v>
      </c>
      <c r="Q88" s="9"/>
      <c r="R88" s="180">
        <f>_xlfn.IFNA(VLOOKUP($A88,[1]IRESS!$A$11:$AE$696,6,FALSE)/100,"n/a")</f>
        <v>0.93</v>
      </c>
      <c r="S88" s="32">
        <f>_xlfn.IFNA(VLOOKUP($A88,[1]IRESS!$A$11:$AE$696,21,FALSE)/100,"n/a")</f>
        <v>1.25</v>
      </c>
      <c r="T88" s="180">
        <f>_xlfn.IFNA(VLOOKUP($A88,[1]IRESS!$A$11:$AE$696,22,FALSE)/100,"n/a")</f>
        <v>0.92500000000000004</v>
      </c>
      <c r="V88" s="35">
        <f>IFERROR((VLOOKUP($A88,[1]IRESS!$A$11:$AE$696,20,FALSE)/100)/R88,"n/a")</f>
        <v>0</v>
      </c>
      <c r="W88" s="181">
        <f>IFERROR(VLOOKUP($A88,[1]Morningstar!$A$2:$F$477,3,FALSE),"n/a")</f>
        <v>-6.0499999999999998E-2</v>
      </c>
      <c r="X88" s="35">
        <f>IFERROR(VLOOKUP($A88,[1]Morningstar!$A$2:$F$477,4,FALSE),"n/a")</f>
        <v>-0.1915</v>
      </c>
      <c r="Y88" s="181" t="str">
        <f>IFERROR(VLOOKUP($A88,[1]Morningstar!$A$2:$F$477,5,FALSE),"n/a")</f>
        <v>n/a</v>
      </c>
      <c r="Z88" s="35" t="str">
        <f>IFERROR(VLOOKUP($A88,[1]Morningstar!$A$2:$F$477,6,FALSE),"n/a")</f>
        <v>n/a</v>
      </c>
    </row>
    <row r="89" spans="1:26">
      <c r="A89" s="21" t="s">
        <v>584</v>
      </c>
      <c r="B89" s="174" t="s">
        <v>508</v>
      </c>
      <c r="C89" s="46" t="str">
        <f>VLOOKUP(A89,'[1]LIC List'!$A$2:$B$136,2,FALSE)</f>
        <v>Global Masters Fund Limited</v>
      </c>
      <c r="D89" s="24"/>
      <c r="E89" s="9"/>
      <c r="F89" s="176">
        <f>_xlfn.IFNA(VLOOKUP(A89,'[1]LIC List'!$A$2:$I$136,6,FALSE),"n/a")</f>
        <v>0.85</v>
      </c>
      <c r="G89" s="26" t="str">
        <f>_xlfn.IFNA(VLOOKUP(A89,'[1]LIC List'!$A$2:$J$112,10,FALSE),"n/a")</f>
        <v>No</v>
      </c>
      <c r="H89" s="176">
        <f>_xlfn.IFNA(VLOOKUP(A89,'[1]LIC List'!$A$2:$J$145,8,FALSE)/1000000,"n/a")</f>
        <v>22.304170720000002</v>
      </c>
      <c r="I89" s="26">
        <f>_xlfn.IFNA(VLOOKUP(A89,'[1]LIC List'!$A$2:$N$136,14,FALSE)/1000000,"n/a")</f>
        <v>0.21446318000000342</v>
      </c>
      <c r="J89" s="177">
        <f>_xlfn.IFNA(VLOOKUP(A89,[1]IRESS!$A$10:$F$875,5,FALSE),"n/a")</f>
        <v>28454.340000000004</v>
      </c>
      <c r="K89" s="28">
        <f>_xlfn.IFNA(VLOOKUP(A89,[1]IRESS!$A$11:$G$772,7,FALSE),"n/a")</f>
        <v>13521</v>
      </c>
      <c r="L89" s="177">
        <f>_xlfn.IFNA(VLOOKUP(A89,[1]IRESS!$A$10:$F$875,4,FALSE),"n/a")</f>
        <v>24</v>
      </c>
      <c r="M89" s="29">
        <f t="shared" si="1"/>
        <v>6.0620949192591181E-4</v>
      </c>
      <c r="N89" s="104" t="e">
        <f>VLOOKUP(A89,[1]Spreads!$A$1:$G$87,7,FALSE)</f>
        <v>#N/A</v>
      </c>
      <c r="O89" s="178">
        <f>IFERROR(VLOOKUP(A89,'[1]LIC List'!$E$2:$R$112,14,FALSE),"n/a")</f>
        <v>-4.9815498154981652E-2</v>
      </c>
      <c r="P89" s="179">
        <f>IFERROR(VLOOKUP(A89,[1]NAV!$B$3:$F$310,5,FALSE),"n/a")</f>
        <v>43251</v>
      </c>
      <c r="Q89" s="9"/>
      <c r="R89" s="180">
        <f>_xlfn.IFNA(VLOOKUP($A89,[1]IRESS!$A$11:$AE$696,6,FALSE)/100,"n/a")</f>
        <v>2.08</v>
      </c>
      <c r="S89" s="32">
        <f>_xlfn.IFNA(VLOOKUP($A89,[1]IRESS!$A$11:$AE$696,21,FALSE)/100,"n/a")</f>
        <v>2.4678480529785158</v>
      </c>
      <c r="T89" s="180">
        <f>_xlfn.IFNA(VLOOKUP($A89,[1]IRESS!$A$11:$AE$696,22,FALSE)/100,"n/a")</f>
        <v>1.9950000000000001</v>
      </c>
      <c r="V89" s="35">
        <f>IFERROR((VLOOKUP($A89,[1]IRESS!$A$11:$AE$696,20,FALSE)/100)/R89,"n/a")</f>
        <v>0</v>
      </c>
      <c r="W89" s="181">
        <f>IFERROR(VLOOKUP($A89,[1]Morningstar!$A$2:$F$477,3,FALSE),"n/a")</f>
        <v>1.46E-2</v>
      </c>
      <c r="X89" s="35">
        <f>IFERROR(VLOOKUP($A89,[1]Morningstar!$A$2:$F$477,4,FALSE),"n/a")</f>
        <v>2.9700000000000001E-2</v>
      </c>
      <c r="Y89" s="181">
        <f>IFERROR(VLOOKUP($A89,[1]Morningstar!$A$2:$F$477,5,FALSE),"n/a")</f>
        <v>8.0299999999999996E-2</v>
      </c>
      <c r="Z89" s="35">
        <f>IFERROR(VLOOKUP($A89,[1]Morningstar!$A$2:$F$477,6,FALSE),"n/a")</f>
        <v>0.1411</v>
      </c>
    </row>
    <row r="90" spans="1:26">
      <c r="A90" s="21" t="s">
        <v>585</v>
      </c>
      <c r="B90" s="174" t="s">
        <v>508</v>
      </c>
      <c r="C90" s="46" t="str">
        <f>VLOOKUP(A90,'[1]LIC List'!$A$2:$B$136,2,FALSE)</f>
        <v>Global Value Fund Limited</v>
      </c>
      <c r="D90" s="24"/>
      <c r="E90" s="9"/>
      <c r="F90" s="176" t="str">
        <f>_xlfn.IFNA(VLOOKUP(A90,'[1]LIC List'!$A$2:$I$136,6,FALSE),"n/a")</f>
        <v>n/a</v>
      </c>
      <c r="G90" s="26" t="str">
        <f>_xlfn.IFNA(VLOOKUP(A90,'[1]LIC List'!$A$2:$J$112,10,FALSE),"n/a")</f>
        <v>No</v>
      </c>
      <c r="H90" s="176">
        <f>_xlfn.IFNA(VLOOKUP(A90,'[1]LIC List'!$A$2:$J$145,8,FALSE)/1000000,"n/a")</f>
        <v>156.83415992999997</v>
      </c>
      <c r="I90" s="26">
        <f>_xlfn.IFNA(VLOOKUP(A90,'[1]LIC List'!$A$2:$N$136,14,FALSE)/1000000,"n/a")</f>
        <v>-2.2089318300000431</v>
      </c>
      <c r="J90" s="177">
        <f>_xlfn.IFNA(VLOOKUP(A90,[1]IRESS!$A$10:$F$875,5,FALSE),"n/a")</f>
        <v>1847438.92</v>
      </c>
      <c r="K90" s="28">
        <f>_xlfn.IFNA(VLOOKUP(A90,[1]IRESS!$A$11:$G$772,7,FALSE),"n/a")</f>
        <v>1733308</v>
      </c>
      <c r="L90" s="177">
        <f>_xlfn.IFNA(VLOOKUP(A90,[1]IRESS!$A$10:$F$875,4,FALSE),"n/a")</f>
        <v>340</v>
      </c>
      <c r="M90" s="29">
        <f t="shared" si="1"/>
        <v>1.1051852484010052E-2</v>
      </c>
      <c r="N90" s="104" t="e">
        <f>VLOOKUP(A90,[1]Spreads!$A$1:$G$87,7,FALSE)</f>
        <v>#N/A</v>
      </c>
      <c r="O90" s="178">
        <f>IFERROR(VLOOKUP(A90,'[1]LIC List'!$E$2:$R$112,14,FALSE),"n/a")</f>
        <v>-1.202256543049951E-3</v>
      </c>
      <c r="P90" s="179">
        <f>IFERROR(VLOOKUP(A90,[1]NAV!$B$3:$F$310,5,FALSE),"n/a")</f>
        <v>43251</v>
      </c>
      <c r="Q90" s="9"/>
      <c r="R90" s="180">
        <f>_xlfn.IFNA(VLOOKUP($A90,[1]IRESS!$A$11:$AE$696,6,FALSE)/100,"n/a")</f>
        <v>1.0649999999999999</v>
      </c>
      <c r="S90" s="32">
        <f>_xlfn.IFNA(VLOOKUP($A90,[1]IRESS!$A$11:$AE$696,21,FALSE)/100,"n/a")</f>
        <v>1.25</v>
      </c>
      <c r="T90" s="180">
        <f>_xlfn.IFNA(VLOOKUP($A90,[1]IRESS!$A$11:$AE$696,22,FALSE)/100,"n/a")</f>
        <v>1.0249999999999999</v>
      </c>
      <c r="V90" s="35">
        <f>IFERROR((VLOOKUP($A90,[1]IRESS!$A$11:$AE$696,20,FALSE)/100)/R90,"n/a")</f>
        <v>5.9154929577464793E-2</v>
      </c>
      <c r="W90" s="181">
        <f>IFERROR(VLOOKUP($A90,[1]Morningstar!$A$2:$F$477,3,FALSE),"n/a")</f>
        <v>-1.37E-2</v>
      </c>
      <c r="X90" s="35">
        <f>IFERROR(VLOOKUP($A90,[1]Morningstar!$A$2:$F$477,4,FALSE),"n/a")</f>
        <v>-2.8899999999999999E-2</v>
      </c>
      <c r="Y90" s="181">
        <f>IFERROR(VLOOKUP($A90,[1]Morningstar!$A$2:$F$477,5,FALSE),"n/a")</f>
        <v>6.8599999999999994E-2</v>
      </c>
      <c r="Z90" s="35" t="str">
        <f>IFERROR(VLOOKUP($A90,[1]Morningstar!$A$2:$F$477,6,FALSE),"n/a")</f>
        <v>n/a</v>
      </c>
    </row>
    <row r="91" spans="1:26">
      <c r="A91" s="21" t="s">
        <v>586</v>
      </c>
      <c r="B91" s="174" t="s">
        <v>508</v>
      </c>
      <c r="C91" s="46" t="str">
        <f>VLOOKUP(A91,'[1]LIC List'!$A$2:$B$136,2,FALSE)</f>
        <v>Pengana International Equities Limited</v>
      </c>
      <c r="D91" s="24"/>
      <c r="E91" s="9"/>
      <c r="F91" s="176">
        <f>_xlfn.IFNA(VLOOKUP(A91,'[1]LIC List'!$A$2:$I$136,6,FALSE),"n/a")</f>
        <v>1.77</v>
      </c>
      <c r="G91" s="26" t="str">
        <f>_xlfn.IFNA(VLOOKUP(A91,'[1]LIC List'!$A$2:$J$112,10,FALSE),"n/a")</f>
        <v>Yes</v>
      </c>
      <c r="H91" s="176">
        <f>_xlfn.IFNA(VLOOKUP(A91,'[1]LIC List'!$A$2:$J$145,8,FALSE)/1000000,"n/a")</f>
        <v>287.02632375999997</v>
      </c>
      <c r="I91" s="26">
        <f>_xlfn.IFNA(VLOOKUP(A91,'[1]LIC List'!$A$2:$N$136,14,FALSE)/1000000,"n/a")</f>
        <v>7.4681815800000431</v>
      </c>
      <c r="J91" s="177">
        <f>_xlfn.IFNA(VLOOKUP(A91,[1]IRESS!$A$10:$F$875,5,FALSE),"n/a")</f>
        <v>4000630.4799999991</v>
      </c>
      <c r="K91" s="28">
        <f>_xlfn.IFNA(VLOOKUP(A91,[1]IRESS!$A$11:$G$772,7,FALSE),"n/a")</f>
        <v>3467594</v>
      </c>
      <c r="L91" s="177">
        <f>_xlfn.IFNA(VLOOKUP(A91,[1]IRESS!$A$10:$F$875,4,FALSE),"n/a")</f>
        <v>486</v>
      </c>
      <c r="M91" s="29">
        <f t="shared" si="1"/>
        <v>1.2081100975600636E-2</v>
      </c>
      <c r="N91" s="104" t="e">
        <f>VLOOKUP(A91,[1]Spreads!$A$1:$G$87,7,FALSE)</f>
        <v>#N/A</v>
      </c>
      <c r="O91" s="178">
        <f>IFERROR(VLOOKUP(A91,'[1]LIC List'!$E$2:$R$112,14,FALSE),"n/a")</f>
        <v>-7.2097224503202662E-2</v>
      </c>
      <c r="P91" s="179">
        <f>IFERROR(VLOOKUP(A91,[1]NAV!$B$3:$F$310,5,FALSE),"n/a")</f>
        <v>43251</v>
      </c>
      <c r="Q91" s="9"/>
      <c r="R91" s="180">
        <f>_xlfn.IFNA(VLOOKUP($A91,[1]IRESS!$A$11:$AE$696,6,FALSE)/100,"n/a")</f>
        <v>1.1599999999999999</v>
      </c>
      <c r="S91" s="32">
        <f>_xlfn.IFNA(VLOOKUP($A91,[1]IRESS!$A$11:$AE$696,21,FALSE)/100,"n/a")</f>
        <v>1.21</v>
      </c>
      <c r="T91" s="180">
        <f>_xlfn.IFNA(VLOOKUP($A91,[1]IRESS!$A$11:$AE$696,22,FALSE)/100,"n/a")</f>
        <v>1.1100000000000001</v>
      </c>
      <c r="V91" s="35">
        <f>IFERROR((VLOOKUP($A91,[1]IRESS!$A$11:$AE$696,20,FALSE)/100)/R91,"n/a")</f>
        <v>6.0344827586206906E-2</v>
      </c>
      <c r="W91" s="181">
        <f>IFERROR(VLOOKUP($A91,[1]Morningstar!$A$2:$F$477,3,FALSE),"n/a")</f>
        <v>2.1999999999999999E-2</v>
      </c>
      <c r="X91" s="35">
        <f>IFERROR(VLOOKUP($A91,[1]Morningstar!$A$2:$F$477,4,FALSE),"n/a")</f>
        <v>0.115</v>
      </c>
      <c r="Y91" s="181">
        <f>IFERROR(VLOOKUP($A91,[1]Morningstar!$A$2:$F$477,5,FALSE),"n/a")</f>
        <v>6.0900000000000003E-2</v>
      </c>
      <c r="Z91" s="35">
        <f>IFERROR(VLOOKUP($A91,[1]Morningstar!$A$2:$F$477,6,FALSE),"n/a")</f>
        <v>0.13650000000000001</v>
      </c>
    </row>
    <row r="92" spans="1:26">
      <c r="A92" s="21" t="s">
        <v>587</v>
      </c>
      <c r="B92" s="174" t="s">
        <v>508</v>
      </c>
      <c r="C92" s="46" t="str">
        <f>VLOOKUP(A92,'[1]LIC List'!$A$2:$B$136,2,FALSE)</f>
        <v>Lowell Resources Fund</v>
      </c>
      <c r="D92" s="24"/>
      <c r="E92" s="9"/>
      <c r="F92" s="176" t="str">
        <f>_xlfn.IFNA(VLOOKUP(A92,'[1]LIC List'!$A$2:$I$136,6,FALSE),"n/a")</f>
        <v>n/a</v>
      </c>
      <c r="G92" s="26" t="str">
        <f>_xlfn.IFNA(VLOOKUP(A92,'[1]LIC List'!$A$2:$J$112,10,FALSE),"n/a")</f>
        <v>n/a</v>
      </c>
      <c r="H92" s="176">
        <f>_xlfn.IFNA(VLOOKUP(A92,'[1]LIC List'!$A$2:$J$145,8,FALSE)/1000000,"n/a")</f>
        <v>18.88136325</v>
      </c>
      <c r="I92" s="26">
        <f>_xlfn.IFNA(VLOOKUP(A92,'[1]LIC List'!$A$2:$N$136,14,FALSE)/1000000,"n/a")</f>
        <v>-3.2168248500000014</v>
      </c>
      <c r="J92" s="177">
        <f>_xlfn.IFNA(VLOOKUP(A92,[1]IRESS!$A$10:$F$875,5,FALSE),"n/a")</f>
        <v>72561.499999999985</v>
      </c>
      <c r="K92" s="28">
        <f>_xlfn.IFNA(VLOOKUP(A92,[1]IRESS!$A$11:$G$772,7,FALSE),"n/a")</f>
        <v>10391</v>
      </c>
      <c r="L92" s="177">
        <f>_xlfn.IFNA(VLOOKUP(A92,[1]IRESS!$A$10:$F$875,4,FALSE),"n/a")</f>
        <v>23</v>
      </c>
      <c r="M92" s="29">
        <f t="shared" si="1"/>
        <v>5.5033102548885076E-4</v>
      </c>
      <c r="N92" s="104" t="e">
        <f>VLOOKUP(A92,[1]Spreads!$A$1:$G$87,7,FALSE)</f>
        <v>#N/A</v>
      </c>
      <c r="O92" s="178">
        <f>IFERROR(VLOOKUP(A92,'[1]LIC List'!$E$2:$R$112,14,FALSE),"n/a")</f>
        <v>9.8587460079022637E-3</v>
      </c>
      <c r="P92" s="179">
        <f>IFERROR(VLOOKUP(A92,[1]NAV!$B$3:$F$310,5,FALSE),"n/a")</f>
        <v>43251</v>
      </c>
      <c r="Q92" s="9"/>
      <c r="R92" s="180">
        <f>_xlfn.IFNA(VLOOKUP($A92,[1]IRESS!$A$11:$AE$696,6,FALSE)/100,"n/a")</f>
        <v>6.75</v>
      </c>
      <c r="S92" s="32">
        <f>_xlfn.IFNA(VLOOKUP($A92,[1]IRESS!$A$11:$AE$696,21,FALSE)/100,"n/a")</f>
        <v>8.5</v>
      </c>
      <c r="T92" s="180">
        <f>_xlfn.IFNA(VLOOKUP($A92,[1]IRESS!$A$11:$AE$696,22,FALSE)/100,"n/a")</f>
        <v>6.7</v>
      </c>
      <c r="V92" s="35">
        <f>IFERROR((VLOOKUP($A92,[1]IRESS!$A$11:$AE$696,20,FALSE)/100)/R92,"n/a")</f>
        <v>0</v>
      </c>
      <c r="W92" s="181">
        <f>IFERROR(VLOOKUP($A92,[1]Morningstar!$A$2:$F$477,3,FALSE),"n/a")</f>
        <v>-0.15620000000000001</v>
      </c>
      <c r="X92" s="35" t="str">
        <f>IFERROR(VLOOKUP($A92,[1]Morningstar!$A$2:$F$477,4,FALSE),"n/a")</f>
        <v>n/a</v>
      </c>
      <c r="Y92" s="181" t="str">
        <f>IFERROR(VLOOKUP($A92,[1]Morningstar!$A$2:$F$477,5,FALSE),"n/a")</f>
        <v>n/a</v>
      </c>
      <c r="Z92" s="35" t="str">
        <f>IFERROR(VLOOKUP($A92,[1]Morningstar!$A$2:$F$477,6,FALSE),"n/a")</f>
        <v>n/a</v>
      </c>
    </row>
    <row r="93" spans="1:26">
      <c r="A93" s="21" t="s">
        <v>588</v>
      </c>
      <c r="B93" s="174" t="s">
        <v>508</v>
      </c>
      <c r="C93" s="46" t="str">
        <f>VLOOKUP(A93,'[1]LIC List'!$A$2:$B$136,2,FALSE)</f>
        <v>Lion Selection Group Limited</v>
      </c>
      <c r="D93" s="24"/>
      <c r="E93" s="9"/>
      <c r="F93" s="176">
        <f>_xlfn.IFNA(VLOOKUP(A93,'[1]LIC List'!$A$2:$I$136,6,FALSE),"n/a")</f>
        <v>1.5</v>
      </c>
      <c r="G93" s="26" t="str">
        <f>_xlfn.IFNA(VLOOKUP(A93,'[1]LIC List'!$A$2:$J$112,10,FALSE),"n/a")</f>
        <v>Yes</v>
      </c>
      <c r="H93" s="176">
        <f>_xlfn.IFNA(VLOOKUP(A93,'[1]LIC List'!$A$2:$J$145,8,FALSE)/1000000,"n/a")</f>
        <v>45.040463699999997</v>
      </c>
      <c r="I93" s="26">
        <f>_xlfn.IFNA(VLOOKUP(A93,'[1]LIC List'!$A$2:$N$136,14,FALSE)/1000000,"n/a")</f>
        <v>-4.5040463700000046</v>
      </c>
      <c r="J93" s="177">
        <f>_xlfn.IFNA(VLOOKUP(A93,[1]IRESS!$A$10:$F$875,5,FALSE),"n/a")</f>
        <v>448772.72500000003</v>
      </c>
      <c r="K93" s="28">
        <f>_xlfn.IFNA(VLOOKUP(A93,[1]IRESS!$A$11:$G$772,7,FALSE),"n/a")</f>
        <v>1442673</v>
      </c>
      <c r="L93" s="177">
        <f>_xlfn.IFNA(VLOOKUP(A93,[1]IRESS!$A$10:$F$875,4,FALSE),"n/a")</f>
        <v>93</v>
      </c>
      <c r="M93" s="29">
        <f t="shared" si="1"/>
        <v>3.2030598299546374E-2</v>
      </c>
      <c r="N93" s="104" t="e">
        <f>VLOOKUP(A93,[1]Spreads!$A$1:$G$87,7,FALSE)</f>
        <v>#N/A</v>
      </c>
      <c r="O93" s="178">
        <f>IFERROR(VLOOKUP(A93,'[1]LIC List'!$E$2:$R$112,14,FALSE),"n/a")</f>
        <v>1.5625E-2</v>
      </c>
      <c r="P93" s="179">
        <f>IFERROR(VLOOKUP(A93,[1]NAV!$B$3:$F$310,5,FALSE),"n/a")</f>
        <v>43251</v>
      </c>
      <c r="Q93" s="9"/>
      <c r="R93" s="180">
        <f>_xlfn.IFNA(VLOOKUP($A93,[1]IRESS!$A$11:$AE$696,6,FALSE)/100,"n/a")</f>
        <v>0.3</v>
      </c>
      <c r="S93" s="32">
        <f>_xlfn.IFNA(VLOOKUP($A93,[1]IRESS!$A$11:$AE$696,21,FALSE)/100,"n/a")</f>
        <v>0.43</v>
      </c>
      <c r="T93" s="180">
        <f>_xlfn.IFNA(VLOOKUP($A93,[1]IRESS!$A$11:$AE$696,22,FALSE)/100,"n/a")</f>
        <v>0.28999999999999998</v>
      </c>
      <c r="V93" s="35">
        <f>IFERROR((VLOOKUP($A93,[1]IRESS!$A$11:$AE$696,20,FALSE)/100)/R93,"n/a")</f>
        <v>0</v>
      </c>
      <c r="W93" s="181">
        <f>IFERROR(VLOOKUP($A93,[1]Morningstar!$A$2:$F$477,3,FALSE),"n/a")</f>
        <v>-7.7100000000000002E-2</v>
      </c>
      <c r="X93" s="35">
        <f>IFERROR(VLOOKUP($A93,[1]Morningstar!$A$2:$F$477,4,FALSE),"n/a")</f>
        <v>-0.21060000000000001</v>
      </c>
      <c r="Y93" s="181">
        <f>IFERROR(VLOOKUP($A93,[1]Morningstar!$A$2:$F$477,5,FALSE),"n/a")</f>
        <v>0.19650000000000001</v>
      </c>
      <c r="Z93" s="35">
        <f>IFERROR(VLOOKUP($A93,[1]Morningstar!$A$2:$F$477,6,FALSE),"n/a")</f>
        <v>-0.10780000000000001</v>
      </c>
    </row>
    <row r="94" spans="1:26">
      <c r="A94" s="21" t="s">
        <v>589</v>
      </c>
      <c r="B94" s="174" t="s">
        <v>508</v>
      </c>
      <c r="C94" s="46" t="str">
        <f>VLOOKUP(A94,'[1]LIC List'!$A$2:$B$136,2,FALSE)</f>
        <v>MFF Capital Investments Limited</v>
      </c>
      <c r="D94" s="24"/>
      <c r="E94" s="9"/>
      <c r="F94" s="176">
        <f>_xlfn.IFNA(VLOOKUP(A94,'[1]LIC List'!$A$2:$I$136,6,FALSE),"n/a")</f>
        <v>1.25</v>
      </c>
      <c r="G94" s="26" t="str">
        <f>_xlfn.IFNA(VLOOKUP(A94,'[1]LIC List'!$A$2:$J$112,10,FALSE),"n/a")</f>
        <v>Yes</v>
      </c>
      <c r="H94" s="176">
        <f>_xlfn.IFNA(VLOOKUP(A94,'[1]LIC List'!$A$2:$J$145,8,FALSE)/1000000,"n/a")</f>
        <v>1444.4620967999999</v>
      </c>
      <c r="I94" s="26">
        <f>_xlfn.IFNA(VLOOKUP(A94,'[1]LIC List'!$A$2:$N$136,14,FALSE)/1000000,"n/a")</f>
        <v>97.379467199999809</v>
      </c>
      <c r="J94" s="177">
        <f>_xlfn.IFNA(VLOOKUP(A94,[1]IRESS!$A$10:$F$875,5,FALSE),"n/a")</f>
        <v>15015008.785</v>
      </c>
      <c r="K94" s="28">
        <f>_xlfn.IFNA(VLOOKUP(A94,[1]IRESS!$A$11:$G$772,7,FALSE),"n/a")</f>
        <v>5763280</v>
      </c>
      <c r="L94" s="177">
        <f>_xlfn.IFNA(VLOOKUP(A94,[1]IRESS!$A$10:$F$875,4,FALSE),"n/a")</f>
        <v>1747</v>
      </c>
      <c r="M94" s="29">
        <f t="shared" si="1"/>
        <v>3.9899143167326616E-3</v>
      </c>
      <c r="N94" s="104" t="e">
        <f>VLOOKUP(A94,[1]Spreads!$A$1:$G$87,7,FALSE)</f>
        <v>#N/A</v>
      </c>
      <c r="O94" s="178">
        <f>IFERROR(VLOOKUP(A94,'[1]LIC List'!$E$2:$R$112,14,FALSE),"n/a")</f>
        <v>-7.3243647234678688E-2</v>
      </c>
      <c r="P94" s="179">
        <f>IFERROR(VLOOKUP(A94,[1]NAV!$B$3:$F$310,5,FALSE),"n/a")</f>
        <v>43251</v>
      </c>
      <c r="Q94" s="9"/>
      <c r="R94" s="180">
        <f>_xlfn.IFNA(VLOOKUP($A94,[1]IRESS!$A$11:$AE$696,6,FALSE)/100,"n/a")</f>
        <v>2.67</v>
      </c>
      <c r="S94" s="32">
        <f>_xlfn.IFNA(VLOOKUP($A94,[1]IRESS!$A$11:$AE$696,21,FALSE)/100,"n/a")</f>
        <v>2.74</v>
      </c>
      <c r="T94" s="180">
        <f>_xlfn.IFNA(VLOOKUP($A94,[1]IRESS!$A$11:$AE$696,22,FALSE)/100,"n/a")</f>
        <v>1.875</v>
      </c>
      <c r="V94" s="35">
        <f>IFERROR((VLOOKUP($A94,[1]IRESS!$A$11:$AE$696,20,FALSE)/100)/R94,"n/a")</f>
        <v>9.3632958801498131E-3</v>
      </c>
      <c r="W94" s="181">
        <f>IFERROR(VLOOKUP($A94,[1]Morningstar!$A$2:$F$477,3,FALSE),"n/a")</f>
        <v>7.22E-2</v>
      </c>
      <c r="X94" s="35">
        <f>IFERROR(VLOOKUP($A94,[1]Morningstar!$A$2:$F$477,4,FALSE),"n/a")</f>
        <v>0.38800000000000001</v>
      </c>
      <c r="Y94" s="181">
        <f>IFERROR(VLOOKUP($A94,[1]Morningstar!$A$2:$F$477,5,FALSE),"n/a")</f>
        <v>0.1595</v>
      </c>
      <c r="Z94" s="35">
        <f>IFERROR(VLOOKUP($A94,[1]Morningstar!$A$2:$F$477,6,FALSE),"n/a")</f>
        <v>0.16850000000000001</v>
      </c>
    </row>
    <row r="95" spans="1:26">
      <c r="A95" s="21" t="s">
        <v>590</v>
      </c>
      <c r="B95" s="174" t="s">
        <v>529</v>
      </c>
      <c r="C95" s="46" t="str">
        <f>VLOOKUP(A95,'[1]LIC List'!$A$2:$B$136,2,FALSE)</f>
        <v>Magellan Global Trust</v>
      </c>
      <c r="D95" s="24"/>
      <c r="E95" s="9"/>
      <c r="F95" s="176">
        <f>_xlfn.IFNA(VLOOKUP(A95,'[1]LIC List'!$A$2:$I$136,6,FALSE),"n/a")</f>
        <v>1.35</v>
      </c>
      <c r="G95" s="26" t="str">
        <f>_xlfn.IFNA(VLOOKUP(A95,'[1]LIC List'!$A$2:$J$112,10,FALSE),"n/a")</f>
        <v>Yes</v>
      </c>
      <c r="H95" s="176">
        <f>_xlfn.IFNA(VLOOKUP(A95,'[1]LIC List'!$A$2:$J$145,8,FALSE)/1000000,"n/a")</f>
        <v>1684.0176768000001</v>
      </c>
      <c r="I95" s="26">
        <f>_xlfn.IFNA(VLOOKUP(A95,'[1]LIC List'!$A$2:$N$136,14,FALSE)/1000000,"n/a")</f>
        <v>57.888107640000342</v>
      </c>
      <c r="J95" s="177">
        <f>_xlfn.IFNA(VLOOKUP(A95,[1]IRESS!$A$10:$F$875,5,FALSE),"n/a")</f>
        <v>32939702.862500008</v>
      </c>
      <c r="K95" s="28">
        <f>_xlfn.IFNA(VLOOKUP(A95,[1]IRESS!$A$11:$G$772,7,FALSE),"n/a")</f>
        <v>20687064</v>
      </c>
      <c r="L95" s="177">
        <f>_xlfn.IFNA(VLOOKUP(A95,[1]IRESS!$A$10:$F$875,4,FALSE),"n/a")</f>
        <v>4172</v>
      </c>
      <c r="M95" s="29">
        <f t="shared" si="1"/>
        <v>1.2284350862224867E-2</v>
      </c>
      <c r="N95" s="104" t="e">
        <f>VLOOKUP(A95,[1]Spreads!$A$1:$G$87,7,FALSE)</f>
        <v>#N/A</v>
      </c>
      <c r="O95" s="178">
        <f>IFERROR(VLOOKUP(A95,'[1]LIC List'!$E$2:$R$112,14,FALSE),"n/a")</f>
        <v>-4.9265341400172802E-2</v>
      </c>
      <c r="P95" s="179">
        <f>IFERROR(VLOOKUP(A95,[1]NAV!$B$3:$F$310,5,FALSE),"n/a")</f>
        <v>43248</v>
      </c>
      <c r="Q95" s="9"/>
      <c r="R95" s="180">
        <f>_xlfn.IFNA(VLOOKUP($A95,[1]IRESS!$A$11:$AE$696,6,FALSE)/100,"n/a")</f>
        <v>1.6</v>
      </c>
      <c r="S95" s="32">
        <f>_xlfn.IFNA(VLOOKUP($A95,[1]IRESS!$A$11:$AE$696,21,FALSE)/100,"n/a")</f>
        <v>1.7350000000000001</v>
      </c>
      <c r="T95" s="180">
        <f>_xlfn.IFNA(VLOOKUP($A95,[1]IRESS!$A$11:$AE$696,22,FALSE)/100,"n/a")</f>
        <v>1.42</v>
      </c>
      <c r="V95" s="35">
        <f>IFERROR((VLOOKUP($A95,[1]IRESS!$A$11:$AE$696,20,FALSE)/100)/R95,"n/a")</f>
        <v>3.7499999999999999E-2</v>
      </c>
      <c r="W95" s="181">
        <f>IFERROR(VLOOKUP($A95,[1]Morningstar!$A$2:$F$477,3,FALSE),"n/a")</f>
        <v>5.5199999999999999E-2</v>
      </c>
      <c r="X95" s="35" t="str">
        <f>IFERROR(VLOOKUP($A95,[1]Morningstar!$A$2:$F$477,4,FALSE),"n/a")</f>
        <v>n/a</v>
      </c>
      <c r="Y95" s="181" t="str">
        <f>IFERROR(VLOOKUP($A95,[1]Morningstar!$A$2:$F$477,5,FALSE),"n/a")</f>
        <v>n/a</v>
      </c>
      <c r="Z95" s="35" t="str">
        <f>IFERROR(VLOOKUP($A95,[1]Morningstar!$A$2:$F$477,6,FALSE),"n/a")</f>
        <v>n/a</v>
      </c>
    </row>
    <row r="96" spans="1:26">
      <c r="A96" s="21" t="s">
        <v>591</v>
      </c>
      <c r="B96" s="174" t="s">
        <v>508</v>
      </c>
      <c r="C96" s="46" t="str">
        <f>VLOOKUP(A96,'[1]LIC List'!$A$2:$B$136,2,FALSE)</f>
        <v>PM Capital Global Opportunities Fund Limited</v>
      </c>
      <c r="D96" s="24"/>
      <c r="E96" s="9"/>
      <c r="F96" s="176">
        <f>_xlfn.IFNA(VLOOKUP(A96,'[1]LIC List'!$A$2:$I$136,6,FALSE),"n/a")</f>
        <v>1</v>
      </c>
      <c r="G96" s="26" t="str">
        <f>_xlfn.IFNA(VLOOKUP(A96,'[1]LIC List'!$A$2:$J$112,10,FALSE),"n/a")</f>
        <v>Yes</v>
      </c>
      <c r="H96" s="176">
        <f>_xlfn.IFNA(VLOOKUP(A96,'[1]LIC List'!$A$2:$J$145,8,FALSE)/1000000,"n/a")</f>
        <v>466.71026941000002</v>
      </c>
      <c r="I96" s="26">
        <f>_xlfn.IFNA(VLOOKUP(A96,'[1]LIC List'!$A$2:$N$136,14,FALSE)/1000000,"n/a")</f>
        <v>24.563698390000045</v>
      </c>
      <c r="J96" s="177">
        <f>_xlfn.IFNA(VLOOKUP(A96,[1]IRESS!$A$10:$F$875,5,FALSE),"n/a")</f>
        <v>5630585.7850000001</v>
      </c>
      <c r="K96" s="28">
        <f>_xlfn.IFNA(VLOOKUP(A96,[1]IRESS!$A$11:$G$772,7,FALSE),"n/a")</f>
        <v>4359399</v>
      </c>
      <c r="L96" s="177">
        <f>_xlfn.IFNA(VLOOKUP(A96,[1]IRESS!$A$10:$F$875,4,FALSE),"n/a")</f>
        <v>888</v>
      </c>
      <c r="M96" s="29">
        <f t="shared" si="1"/>
        <v>9.3406965428701853E-3</v>
      </c>
      <c r="N96" s="104" t="e">
        <f>VLOOKUP(A96,[1]Spreads!$A$1:$G$87,7,FALSE)</f>
        <v>#N/A</v>
      </c>
      <c r="O96" s="178">
        <f>IFERROR(VLOOKUP(A96,'[1]LIC List'!$E$2:$R$112,14,FALSE),"n/a")</f>
        <v>-8.2568807339449601E-2</v>
      </c>
      <c r="P96" s="179">
        <f>IFERROR(VLOOKUP(A96,[1]NAV!$B$3:$F$310,5,FALSE),"n/a")</f>
        <v>43251</v>
      </c>
      <c r="Q96" s="9"/>
      <c r="R96" s="180">
        <f>_xlfn.IFNA(VLOOKUP($A96,[1]IRESS!$A$11:$AE$696,6,FALSE)/100,"n/a")</f>
        <v>1.33</v>
      </c>
      <c r="S96" s="32">
        <f>_xlfn.IFNA(VLOOKUP($A96,[1]IRESS!$A$11:$AE$696,21,FALSE)/100,"n/a")</f>
        <v>1.33</v>
      </c>
      <c r="T96" s="180">
        <f>_xlfn.IFNA(VLOOKUP($A96,[1]IRESS!$A$11:$AE$696,22,FALSE)/100,"n/a")</f>
        <v>1.0449999999999999</v>
      </c>
      <c r="V96" s="35">
        <f>IFERROR((VLOOKUP($A96,[1]IRESS!$A$11:$AE$696,20,FALSE)/100)/R96,"n/a")</f>
        <v>2.7067669172932334E-2</v>
      </c>
      <c r="W96" s="181">
        <f>IFERROR(VLOOKUP($A96,[1]Morningstar!$A$2:$F$477,3,FALSE),"n/a")</f>
        <v>4.7199999999999999E-2</v>
      </c>
      <c r="X96" s="35">
        <f>IFERROR(VLOOKUP($A96,[1]Morningstar!$A$2:$F$477,4,FALSE),"n/a")</f>
        <v>0.24160000000000001</v>
      </c>
      <c r="Y96" s="181">
        <f>IFERROR(VLOOKUP($A96,[1]Morningstar!$A$2:$F$477,5,FALSE),"n/a")</f>
        <v>0.1226</v>
      </c>
      <c r="Z96" s="35" t="str">
        <f>IFERROR(VLOOKUP($A96,[1]Morningstar!$A$2:$F$477,6,FALSE),"n/a")</f>
        <v>n/a</v>
      </c>
    </row>
    <row r="97" spans="1:26">
      <c r="A97" s="21" t="s">
        <v>592</v>
      </c>
      <c r="B97" s="174" t="s">
        <v>508</v>
      </c>
      <c r="C97" s="46" t="str">
        <f>VLOOKUP(A97,'[1]LIC List'!$A$2:$B$136,2,FALSE)</f>
        <v>Platinum Capital Limited</v>
      </c>
      <c r="D97" s="24"/>
      <c r="E97" s="9"/>
      <c r="F97" s="176">
        <f>_xlfn.IFNA(VLOOKUP(A97,'[1]LIC List'!$A$2:$I$136,6,FALSE),"n/a")</f>
        <v>1.5</v>
      </c>
      <c r="G97" s="26" t="str">
        <f>_xlfn.IFNA(VLOOKUP(A97,'[1]LIC List'!$A$2:$J$112,10,FALSE),"n/a")</f>
        <v>Yes</v>
      </c>
      <c r="H97" s="176">
        <f>_xlfn.IFNA(VLOOKUP(A97,'[1]LIC List'!$A$2:$J$145,8,FALSE)/1000000,"n/a")</f>
        <v>597.57495060999997</v>
      </c>
      <c r="I97" s="26">
        <f>_xlfn.IFNA(VLOOKUP(A97,'[1]LIC List'!$A$2:$N$136,14,FALSE)/1000000,"n/a")</f>
        <v>17.155261740000128</v>
      </c>
      <c r="J97" s="177">
        <f>_xlfn.IFNA(VLOOKUP(A97,[1]IRESS!$A$10:$F$875,5,FALSE),"n/a")</f>
        <v>13091947.380000001</v>
      </c>
      <c r="K97" s="28">
        <f>_xlfn.IFNA(VLOOKUP(A97,[1]IRESS!$A$11:$G$772,7,FALSE),"n/a")</f>
        <v>6368947</v>
      </c>
      <c r="L97" s="177">
        <f>_xlfn.IFNA(VLOOKUP(A97,[1]IRESS!$A$10:$F$875,4,FALSE),"n/a")</f>
        <v>1613</v>
      </c>
      <c r="M97" s="29">
        <f t="shared" si="1"/>
        <v>1.0657988581179025E-2</v>
      </c>
      <c r="N97" s="104" t="e">
        <f>VLOOKUP(A97,[1]Spreads!$A$1:$G$87,7,FALSE)</f>
        <v>#N/A</v>
      </c>
      <c r="O97" s="178">
        <f>IFERROR(VLOOKUP(A97,'[1]LIC List'!$E$2:$R$112,14,FALSE),"n/a")</f>
        <v>0.14529530653492051</v>
      </c>
      <c r="P97" s="179">
        <f>IFERROR(VLOOKUP(A97,[1]NAV!$B$3:$F$310,5,FALSE),"n/a")</f>
        <v>43251</v>
      </c>
      <c r="Q97" s="9"/>
      <c r="R97" s="180">
        <f>_xlfn.IFNA(VLOOKUP($A97,[1]IRESS!$A$11:$AE$696,6,FALSE)/100,"n/a")</f>
        <v>2.09</v>
      </c>
      <c r="S97" s="32">
        <f>_xlfn.IFNA(VLOOKUP($A97,[1]IRESS!$A$11:$AE$696,21,FALSE)/100,"n/a")</f>
        <v>2.17</v>
      </c>
      <c r="T97" s="180">
        <f>_xlfn.IFNA(VLOOKUP($A97,[1]IRESS!$A$11:$AE$696,22,FALSE)/100,"n/a")</f>
        <v>1.605</v>
      </c>
      <c r="V97" s="35">
        <f>IFERROR((VLOOKUP($A97,[1]IRESS!$A$11:$AE$696,20,FALSE)/100)/R97,"n/a")</f>
        <v>4.7846889952153117E-2</v>
      </c>
      <c r="W97" s="181">
        <f>IFERROR(VLOOKUP($A97,[1]Morningstar!$A$2:$F$477,3,FALSE),"n/a")</f>
        <v>1.4500000000000001E-2</v>
      </c>
      <c r="X97" s="35">
        <f>IFERROR(VLOOKUP($A97,[1]Morningstar!$A$2:$F$477,4,FALSE),"n/a")</f>
        <v>0.3115</v>
      </c>
      <c r="Y97" s="181">
        <f>IFERROR(VLOOKUP($A97,[1]Morningstar!$A$2:$F$477,5,FALSE),"n/a")</f>
        <v>0.1133</v>
      </c>
      <c r="Z97" s="35">
        <f>IFERROR(VLOOKUP($A97,[1]Morningstar!$A$2:$F$477,6,FALSE),"n/a")</f>
        <v>0.1353</v>
      </c>
    </row>
    <row r="98" spans="1:26">
      <c r="A98" s="21" t="s">
        <v>593</v>
      </c>
      <c r="B98" s="174" t="s">
        <v>508</v>
      </c>
      <c r="C98" s="46" t="str">
        <f>VLOOKUP(A98,'[1]LIC List'!$A$2:$B$136,2,FALSE)</f>
        <v>Sunvest Corporation Limited</v>
      </c>
      <c r="D98" s="24"/>
      <c r="E98" s="9"/>
      <c r="F98" s="176" t="str">
        <f>_xlfn.IFNA(VLOOKUP(A98,'[1]LIC List'!$A$2:$I$136,6,FALSE),"n/a")</f>
        <v>n/a</v>
      </c>
      <c r="G98" s="26" t="str">
        <f>_xlfn.IFNA(VLOOKUP(A98,'[1]LIC List'!$A$2:$J$112,10,FALSE),"n/a")</f>
        <v>n/a</v>
      </c>
      <c r="H98" s="176">
        <f>_xlfn.IFNA(VLOOKUP(A98,'[1]LIC List'!$A$2:$J$145,8,FALSE)/1000000,"n/a")</f>
        <v>3.52611696</v>
      </c>
      <c r="I98" s="26">
        <f>_xlfn.IFNA(VLOOKUP(A98,'[1]LIC List'!$A$2:$N$136,14,FALSE)/1000000,"n/a")</f>
        <v>0</v>
      </c>
      <c r="J98" s="177">
        <f>_xlfn.IFNA(VLOOKUP(A98,[1]IRESS!$A$10:$F$875,5,FALSE),"n/a")</f>
        <v>0</v>
      </c>
      <c r="K98" s="28">
        <f>_xlfn.IFNA(VLOOKUP(A98,[1]IRESS!$A$11:$G$772,7,FALSE),"n/a")</f>
        <v>0</v>
      </c>
      <c r="L98" s="177">
        <f>_xlfn.IFNA(VLOOKUP(A98,[1]IRESS!$A$10:$F$875,4,FALSE),"n/a")</f>
        <v>0</v>
      </c>
      <c r="M98" s="29">
        <f t="shared" si="1"/>
        <v>0</v>
      </c>
      <c r="N98" s="104" t="e">
        <f>VLOOKUP(A98,[1]Spreads!$A$1:$G$87,7,FALSE)</f>
        <v>#N/A</v>
      </c>
      <c r="O98" s="178">
        <f>IFERROR(VLOOKUP(A98,'[1]LIC List'!$E$2:$R$112,14,FALSE),"n/a")</f>
        <v>-0.39361702127659581</v>
      </c>
      <c r="P98" s="179">
        <f>IFERROR(VLOOKUP(A98,[1]NAV!$B$3:$F$310,5,FALSE),"n/a")</f>
        <v>43251</v>
      </c>
      <c r="Q98" s="9"/>
      <c r="R98" s="180">
        <f>_xlfn.IFNA(VLOOKUP($A98,[1]IRESS!$A$11:$AE$696,6,FALSE)/100,"n/a")</f>
        <v>0.28499999999999998</v>
      </c>
      <c r="S98" s="32">
        <f>_xlfn.IFNA(VLOOKUP($A98,[1]IRESS!$A$11:$AE$696,21,FALSE)/100,"n/a")</f>
        <v>0.28999999999999998</v>
      </c>
      <c r="T98" s="180">
        <f>_xlfn.IFNA(VLOOKUP($A98,[1]IRESS!$A$11:$AE$696,22,FALSE)/100,"n/a")</f>
        <v>0.27</v>
      </c>
      <c r="V98" s="35">
        <f>IFERROR((VLOOKUP($A98,[1]IRESS!$A$11:$AE$696,20,FALSE)/100)/R98,"n/a")</f>
        <v>0</v>
      </c>
      <c r="W98" s="181">
        <f>IFERROR(VLOOKUP($A98,[1]Morningstar!$A$2:$F$477,3,FALSE),"n/a")</f>
        <v>0</v>
      </c>
      <c r="X98" s="35">
        <f>IFERROR(VLOOKUP($A98,[1]Morningstar!$A$2:$F$477,4,FALSE),"n/a")</f>
        <v>5.5500000000000001E-2</v>
      </c>
      <c r="Y98" s="181">
        <f>IFERROR(VLOOKUP($A98,[1]Morningstar!$A$2:$F$477,5,FALSE),"n/a")</f>
        <v>-4.7699999999999999E-2</v>
      </c>
      <c r="Z98" s="35">
        <f>IFERROR(VLOOKUP($A98,[1]Morningstar!$A$2:$F$477,6,FALSE),"n/a")</f>
        <v>3.5000000000000003E-2</v>
      </c>
    </row>
    <row r="99" spans="1:26">
      <c r="A99" s="21" t="s">
        <v>594</v>
      </c>
      <c r="B99" s="174" t="s">
        <v>508</v>
      </c>
      <c r="C99" s="46" t="str">
        <f>VLOOKUP(A99,'[1]LIC List'!$A$2:$B$136,2,FALSE)</f>
        <v>Templeton Global Growth Fund Limited</v>
      </c>
      <c r="D99" s="24"/>
      <c r="E99" s="9"/>
      <c r="F99" s="176">
        <f>_xlfn.IFNA(VLOOKUP(A99,'[1]LIC List'!$A$2:$I$136,6,FALSE),"n/a")</f>
        <v>1</v>
      </c>
      <c r="G99" s="26" t="str">
        <f>_xlfn.IFNA(VLOOKUP(A99,'[1]LIC List'!$A$2:$J$112,10,FALSE),"n/a")</f>
        <v>No</v>
      </c>
      <c r="H99" s="176">
        <f>_xlfn.IFNA(VLOOKUP(A99,'[1]LIC List'!$A$2:$J$145,8,FALSE)/1000000,"n/a")</f>
        <v>317.82505462</v>
      </c>
      <c r="I99" s="26">
        <f>_xlfn.IFNA(VLOOKUP(A99,'[1]LIC List'!$A$2:$N$136,14,FALSE)/1000000,"n/a")</f>
        <v>6.7146138300000429</v>
      </c>
      <c r="J99" s="177">
        <f>_xlfn.IFNA(VLOOKUP(A99,[1]IRESS!$A$10:$F$875,5,FALSE),"n/a")</f>
        <v>6269925.3850000007</v>
      </c>
      <c r="K99" s="28">
        <f>_xlfn.IFNA(VLOOKUP(A99,[1]IRESS!$A$11:$G$772,7,FALSE),"n/a")</f>
        <v>4465492</v>
      </c>
      <c r="L99" s="177">
        <f>_xlfn.IFNA(VLOOKUP(A99,[1]IRESS!$A$10:$F$875,4,FALSE),"n/a")</f>
        <v>859</v>
      </c>
      <c r="M99" s="29">
        <f t="shared" si="1"/>
        <v>1.4050157264470731E-2</v>
      </c>
      <c r="N99" s="104" t="e">
        <f>VLOOKUP(A99,[1]Spreads!$A$1:$G$87,7,FALSE)</f>
        <v>#N/A</v>
      </c>
      <c r="O99" s="178">
        <f>IFERROR(VLOOKUP(A99,'[1]LIC List'!$E$2:$R$112,14,FALSE),"n/a")</f>
        <v>-9.4155844155844104E-2</v>
      </c>
      <c r="P99" s="179">
        <f>IFERROR(VLOOKUP(A99,[1]NAV!$B$3:$F$310,5,FALSE),"n/a")</f>
        <v>43251</v>
      </c>
      <c r="Q99" s="9"/>
      <c r="R99" s="180">
        <f>_xlfn.IFNA(VLOOKUP($A99,[1]IRESS!$A$11:$AE$696,6,FALSE)/100,"n/a")</f>
        <v>1.42</v>
      </c>
      <c r="S99" s="32">
        <f>_xlfn.IFNA(VLOOKUP($A99,[1]IRESS!$A$11:$AE$696,21,FALSE)/100,"n/a")</f>
        <v>1.45</v>
      </c>
      <c r="T99" s="180">
        <f>_xlfn.IFNA(VLOOKUP($A99,[1]IRESS!$A$11:$AE$696,22,FALSE)/100,"n/a")</f>
        <v>1.28</v>
      </c>
      <c r="V99" s="35">
        <f>IFERROR((VLOOKUP($A99,[1]IRESS!$A$11:$AE$696,20,FALSE)/100)/R99,"n/a")</f>
        <v>3.1690140845070422E-2</v>
      </c>
      <c r="W99" s="181">
        <f>IFERROR(VLOOKUP($A99,[1]Morningstar!$A$2:$F$477,3,FALSE),"n/a")</f>
        <v>1E-4</v>
      </c>
      <c r="X99" s="35">
        <f>IFERROR(VLOOKUP($A99,[1]Morningstar!$A$2:$F$477,4,FALSE),"n/a")</f>
        <v>7.9500000000000001E-2</v>
      </c>
      <c r="Y99" s="181">
        <f>IFERROR(VLOOKUP($A99,[1]Morningstar!$A$2:$F$477,5,FALSE),"n/a")</f>
        <v>6.4299999999999996E-2</v>
      </c>
      <c r="Z99" s="35">
        <f>IFERROR(VLOOKUP($A99,[1]Morningstar!$A$2:$F$477,6,FALSE),"n/a")</f>
        <v>0.10199999999999999</v>
      </c>
    </row>
    <row r="100" spans="1:26">
      <c r="A100" s="21" t="s">
        <v>595</v>
      </c>
      <c r="B100" s="174" t="s">
        <v>508</v>
      </c>
      <c r="C100" s="46" t="str">
        <f>VLOOKUP(A100,'[1]LIC List'!$A$2:$B$136,2,FALSE)</f>
        <v>VGI Partners Global Investments Limited</v>
      </c>
      <c r="D100" s="24"/>
      <c r="E100" s="9"/>
      <c r="F100" s="176">
        <f>_xlfn.IFNA(VLOOKUP(A100,'[1]LIC List'!$A$2:$I$136,6,FALSE),"n/a")</f>
        <v>1.5</v>
      </c>
      <c r="G100" s="26" t="str">
        <f>_xlfn.IFNA(VLOOKUP(A100,'[1]LIC List'!$A$2:$J$112,10,FALSE),"n/a")</f>
        <v>Yes</v>
      </c>
      <c r="H100" s="176">
        <f>_xlfn.IFNA(VLOOKUP(A100,'[1]LIC List'!$A$2:$J$145,8,FALSE)/1000000,"n/a")</f>
        <v>624.84441765999998</v>
      </c>
      <c r="I100" s="26">
        <f>_xlfn.IFNA(VLOOKUP(A100,'[1]LIC List'!$A$2:$N$136,14,FALSE)/1000000,"n/a")</f>
        <v>24.773567219999908</v>
      </c>
      <c r="J100" s="177">
        <f>_xlfn.IFNA(VLOOKUP(A100,[1]IRESS!$A$10:$F$875,5,FALSE),"n/a")</f>
        <v>8586512.5100000016</v>
      </c>
      <c r="K100" s="28">
        <f>_xlfn.IFNA(VLOOKUP(A100,[1]IRESS!$A$11:$G$772,7,FALSE),"n/a")</f>
        <v>3869234</v>
      </c>
      <c r="L100" s="177">
        <f>_xlfn.IFNA(VLOOKUP(A100,[1]IRESS!$A$10:$F$875,4,FALSE),"n/a")</f>
        <v>977</v>
      </c>
      <c r="M100" s="29">
        <f t="shared" si="1"/>
        <v>6.1923158639874219E-3</v>
      </c>
      <c r="N100" s="104" t="e">
        <f>VLOOKUP(A100,[1]Spreads!$A$1:$G$87,7,FALSE)</f>
        <v>#N/A</v>
      </c>
      <c r="O100" s="178">
        <f>IFERROR(VLOOKUP(A100,'[1]LIC List'!$E$2:$R$112,14,FALSE),"n/a")</f>
        <v>2.8301886792452935E-2</v>
      </c>
      <c r="P100" s="179">
        <f>IFERROR(VLOOKUP(A100,[1]NAV!$B$3:$F$310,5,FALSE),"n/a")</f>
        <v>43251</v>
      </c>
      <c r="Q100" s="9"/>
      <c r="R100" s="180">
        <f>_xlfn.IFNA(VLOOKUP($A100,[1]IRESS!$A$11:$AE$696,6,FALSE)/100,"n/a")</f>
        <v>2.27</v>
      </c>
      <c r="S100" s="32">
        <f>_xlfn.IFNA(VLOOKUP($A100,[1]IRESS!$A$11:$AE$696,21,FALSE)/100,"n/a")</f>
        <v>2.3199999999999998</v>
      </c>
      <c r="T100" s="180">
        <f>_xlfn.IFNA(VLOOKUP($A100,[1]IRESS!$A$11:$AE$696,22,FALSE)/100,"n/a")</f>
        <v>1.99</v>
      </c>
      <c r="V100" s="35">
        <f>IFERROR((VLOOKUP($A100,[1]IRESS!$A$11:$AE$696,20,FALSE)/100)/R100,"n/a")</f>
        <v>0</v>
      </c>
      <c r="W100" s="181">
        <f>IFERROR(VLOOKUP($A100,[1]Morningstar!$A$2:$F$477,3,FALSE),"n/a")</f>
        <v>3.1699999999999999E-2</v>
      </c>
      <c r="X100" s="35" t="str">
        <f>IFERROR(VLOOKUP($A100,[1]Morningstar!$A$2:$F$477,4,FALSE),"n/a")</f>
        <v>n/a</v>
      </c>
      <c r="Y100" s="181" t="str">
        <f>IFERROR(VLOOKUP($A100,[1]Morningstar!$A$2:$F$477,5,FALSE),"n/a")</f>
        <v>n/a</v>
      </c>
      <c r="Z100" s="35" t="str">
        <f>IFERROR(VLOOKUP($A100,[1]Morningstar!$A$2:$F$477,6,FALSE),"n/a")</f>
        <v>n/a</v>
      </c>
    </row>
    <row r="101" spans="1:26">
      <c r="A101" s="21" t="s">
        <v>596</v>
      </c>
      <c r="B101" s="174" t="s">
        <v>508</v>
      </c>
      <c r="C101" s="46" t="str">
        <f>VLOOKUP(A101,'[1]LIC List'!$A$2:$B$136,2,FALSE)</f>
        <v>WAM Global Limited</v>
      </c>
      <c r="D101" s="24"/>
      <c r="E101" s="9"/>
      <c r="F101" s="176">
        <f>_xlfn.IFNA(VLOOKUP(A101,'[1]LIC List'!$A$2:$I$136,6,FALSE),"n/a")</f>
        <v>1.25</v>
      </c>
      <c r="G101" s="26" t="str">
        <f>_xlfn.IFNA(VLOOKUP(A101,'[1]LIC List'!$A$2:$J$112,10,FALSE),"n/a")</f>
        <v>Yes</v>
      </c>
      <c r="H101" s="176">
        <f>_xlfn.IFNA(VLOOKUP(A101,'[1]LIC List'!$A$2:$J$145,8,FALSE)/1000000,"n/a")</f>
        <v>467.65284682999999</v>
      </c>
      <c r="I101" s="26" t="str">
        <f>_xlfn.IFNA(VLOOKUP(A101,'[1]LIC List'!$A$2:$N$136,14,FALSE)/1000000,"n/a")</f>
        <v>n/a</v>
      </c>
      <c r="J101" s="177">
        <f>_xlfn.IFNA(VLOOKUP(A101,[1]IRESS!$A$10:$F$875,5,FALSE),"n/a")</f>
        <v>6820938.8799999999</v>
      </c>
      <c r="K101" s="28">
        <f>_xlfn.IFNA(VLOOKUP(A101,[1]IRESS!$A$11:$G$772,7,FALSE),"n/a")</f>
        <v>3106160</v>
      </c>
      <c r="L101" s="177">
        <f>_xlfn.IFNA(VLOOKUP(A101,[1]IRESS!$A$10:$F$875,4,FALSE),"n/a")</f>
        <v>618</v>
      </c>
      <c r="M101" s="29">
        <f>IFERROR(+K101/(H101*1000000),"n/a")</f>
        <v>6.6420209372298417E-3</v>
      </c>
      <c r="N101" s="104" t="e">
        <f>VLOOKUP(A101,[1]Spreads!$A$1:$G$87,7,FALSE)</f>
        <v>#N/A</v>
      </c>
      <c r="O101" s="178" t="str">
        <f>IFERROR(VLOOKUP(A101,'[1]LIC List'!$E$2:$R$112,14,FALSE),"n/a")</f>
        <v>n/a</v>
      </c>
      <c r="P101" s="179">
        <f>IFERROR(VLOOKUP(A101,[1]NAV!$B$3:$F$310,5,FALSE),"n/a")</f>
        <v>43251</v>
      </c>
      <c r="Q101" s="9"/>
      <c r="R101" s="180">
        <f>_xlfn.IFNA(VLOOKUP($A101,[1]IRESS!$A$11:$AE$696,6,FALSE)/100,"n/a")</f>
        <v>2.21</v>
      </c>
      <c r="S101" s="32">
        <f>_xlfn.IFNA(VLOOKUP($A101,[1]IRESS!$A$11:$AE$696,21,FALSE)/100,"n/a")</f>
        <v>2.21</v>
      </c>
      <c r="T101" s="180">
        <f>_xlfn.IFNA(VLOOKUP($A101,[1]IRESS!$A$11:$AE$696,22,FALSE)/100,"n/a")</f>
        <v>2.1800000000000002</v>
      </c>
      <c r="V101" s="35">
        <f>IFERROR((VLOOKUP($A101,[1]IRESS!$A$11:$AE$696,20,FALSE)/100)/R101,"n/a")</f>
        <v>0</v>
      </c>
      <c r="W101" s="181" t="str">
        <f>IFERROR(VLOOKUP($A101,[1]Morningstar!$A$2:$F$477,3,FALSE),"n/a")</f>
        <v>n/a</v>
      </c>
      <c r="X101" s="35" t="str">
        <f>IFERROR(VLOOKUP($A101,[1]Morningstar!$A$2:$F$477,4,FALSE),"n/a")</f>
        <v>n/a</v>
      </c>
      <c r="Y101" s="181" t="str">
        <f>IFERROR(VLOOKUP($A101,[1]Morningstar!$A$2:$F$477,5,FALSE),"n/a")</f>
        <v>n/a</v>
      </c>
      <c r="Z101" s="35" t="str">
        <f>IFERROR(VLOOKUP($A101,[1]Morningstar!$A$2:$F$477,6,FALSE),"n/a")</f>
        <v>n/a</v>
      </c>
    </row>
    <row r="102" spans="1:26">
      <c r="A102" s="21" t="s">
        <v>597</v>
      </c>
      <c r="B102" s="174" t="s">
        <v>508</v>
      </c>
      <c r="C102" s="46" t="str">
        <f>VLOOKUP(A102,'[1]LIC List'!$A$2:$B$136,2,FALSE)</f>
        <v>Watermark Global Leaders Fund Limited</v>
      </c>
      <c r="D102" s="24"/>
      <c r="E102" s="9"/>
      <c r="F102" s="176">
        <f>_xlfn.IFNA(VLOOKUP(A102,'[1]LIC List'!$A$2:$I$136,6,FALSE),"n/a")</f>
        <v>1.2</v>
      </c>
      <c r="G102" s="26" t="str">
        <f>_xlfn.IFNA(VLOOKUP(A102,'[1]LIC List'!$A$2:$J$112,10,FALSE),"n/a")</f>
        <v>Yes</v>
      </c>
      <c r="H102" s="176">
        <f>_xlfn.IFNA(VLOOKUP(A102,'[1]LIC List'!$A$2:$J$145,8,FALSE)/1000000,"n/a")</f>
        <v>75.565618125</v>
      </c>
      <c r="I102" s="26">
        <f>_xlfn.IFNA(VLOOKUP(A102,'[1]LIC List'!$A$2:$N$136,14,FALSE)/1000000,"n/a")</f>
        <v>0</v>
      </c>
      <c r="J102" s="177">
        <f>_xlfn.IFNA(VLOOKUP(A102,[1]IRESS!$A$10:$F$875,5,FALSE),"n/a")</f>
        <v>2158149.8550000004</v>
      </c>
      <c r="K102" s="28">
        <f>_xlfn.IFNA(VLOOKUP(A102,[1]IRESS!$A$11:$G$772,7,FALSE),"n/a")</f>
        <v>2348941</v>
      </c>
      <c r="L102" s="177">
        <f>_xlfn.IFNA(VLOOKUP(A102,[1]IRESS!$A$10:$F$875,4,FALSE),"n/a")</f>
        <v>337</v>
      </c>
      <c r="M102" s="29">
        <f t="shared" si="1"/>
        <v>3.1084785095179156E-2</v>
      </c>
      <c r="N102" s="104" t="e">
        <f>VLOOKUP(A102,[1]Spreads!$A$1:$G$87,7,FALSE)</f>
        <v>#N/A</v>
      </c>
      <c r="O102" s="178">
        <f>IFERROR(VLOOKUP(A102,'[1]LIC List'!$E$2:$R$112,14,FALSE),"n/a")</f>
        <v>-0.16363636363636369</v>
      </c>
      <c r="P102" s="179">
        <f>IFERROR(VLOOKUP(A102,[1]NAV!$B$3:$F$310,5,FALSE),"n/a")</f>
        <v>43251</v>
      </c>
      <c r="Q102" s="9"/>
      <c r="R102" s="180">
        <f>_xlfn.IFNA(VLOOKUP($A102,[1]IRESS!$A$11:$AE$696,6,FALSE)/100,"n/a")</f>
        <v>0.91500000000000004</v>
      </c>
      <c r="S102" s="32">
        <f>_xlfn.IFNA(VLOOKUP($A102,[1]IRESS!$A$11:$AE$696,21,FALSE)/100,"n/a")</f>
        <v>1.0349999999999999</v>
      </c>
      <c r="T102" s="180">
        <f>_xlfn.IFNA(VLOOKUP($A102,[1]IRESS!$A$11:$AE$696,22,FALSE)/100,"n/a")</f>
        <v>0.85</v>
      </c>
      <c r="V102" s="35">
        <f>IFERROR((VLOOKUP($A102,[1]IRESS!$A$11:$AE$696,20,FALSE)/100)/R102,"n/a")</f>
        <v>0</v>
      </c>
      <c r="W102" s="181">
        <f>IFERROR(VLOOKUP($A102,[1]Morningstar!$A$2:$F$477,3,FALSE),"n/a")</f>
        <v>-1.09E-2</v>
      </c>
      <c r="X102" s="35">
        <f>IFERROR(VLOOKUP($A102,[1]Morningstar!$A$2:$F$477,4,FALSE),"n/a")</f>
        <v>-9.8599999999999993E-2</v>
      </c>
      <c r="Y102" s="181" t="str">
        <f>IFERROR(VLOOKUP($A102,[1]Morningstar!$A$2:$F$477,5,FALSE),"n/a")</f>
        <v>n/a</v>
      </c>
      <c r="Z102" s="35" t="str">
        <f>IFERROR(VLOOKUP($A102,[1]Morningstar!$A$2:$F$477,6,FALSE),"n/a")</f>
        <v>n/a</v>
      </c>
    </row>
    <row r="103" spans="1:26">
      <c r="A103" s="21" t="s">
        <v>598</v>
      </c>
      <c r="B103" s="174" t="s">
        <v>508</v>
      </c>
      <c r="C103" s="46" t="str">
        <f>VLOOKUP(A103,'[1]LIC List'!$A$2:$B$136,2,FALSE)</f>
        <v>Zeta Resources Limited</v>
      </c>
      <c r="D103" s="24"/>
      <c r="E103" s="9"/>
      <c r="F103" s="176">
        <f>_xlfn.IFNA(VLOOKUP(A103,'[1]LIC List'!$A$2:$I$136,6,FALSE),"n/a")</f>
        <v>0.5</v>
      </c>
      <c r="G103" s="26" t="str">
        <f>_xlfn.IFNA(VLOOKUP(A103,'[1]LIC List'!$A$2:$J$112,10,FALSE),"n/a")</f>
        <v>Yes</v>
      </c>
      <c r="H103" s="176">
        <f>_xlfn.IFNA(VLOOKUP(A103,'[1]LIC List'!$A$2:$J$145,8,FALSE)/1000000,"n/a")</f>
        <v>80.342332245000009</v>
      </c>
      <c r="I103" s="26">
        <f>_xlfn.IFNA(VLOOKUP(A103,'[1]LIC List'!$A$2:$N$136,14,FALSE)/1000000,"n/a")</f>
        <v>4.9594032250000089</v>
      </c>
      <c r="J103" s="177">
        <f>_xlfn.IFNA(VLOOKUP(A103,[1]IRESS!$A$10:$F$875,5,FALSE),"n/a")</f>
        <v>96932.15</v>
      </c>
      <c r="K103" s="28">
        <f>_xlfn.IFNA(VLOOKUP(A103,[1]IRESS!$A$11:$G$772,7,FALSE),"n/a")</f>
        <v>246309</v>
      </c>
      <c r="L103" s="177">
        <f>_xlfn.IFNA(VLOOKUP(A103,[1]IRESS!$A$10:$F$875,4,FALSE),"n/a")</f>
        <v>31</v>
      </c>
      <c r="M103" s="29">
        <f t="shared" si="1"/>
        <v>3.0657437133999642E-3</v>
      </c>
      <c r="N103" s="104" t="e">
        <f>VLOOKUP(A103,[1]Spreads!$A$1:$G$87,7,FALSE)</f>
        <v>#N/A</v>
      </c>
      <c r="O103" s="178">
        <f>IFERROR(VLOOKUP(A103,'[1]LIC List'!$E$2:$R$112,14,FALSE),"n/a")</f>
        <v>-0.2930232558139535</v>
      </c>
      <c r="P103" s="179">
        <f>IFERROR(VLOOKUP(A103,[1]NAV!$B$3:$F$310,5,FALSE),"n/a")</f>
        <v>43251</v>
      </c>
      <c r="Q103" s="9"/>
      <c r="R103" s="180">
        <f>_xlfn.IFNA(VLOOKUP($A103,[1]IRESS!$A$11:$AE$696,6,FALSE)/100,"n/a")</f>
        <v>0.40500000000000003</v>
      </c>
      <c r="S103" s="32">
        <f>_xlfn.IFNA(VLOOKUP($A103,[1]IRESS!$A$11:$AE$696,21,FALSE)/100,"n/a")</f>
        <v>0.42499999999999999</v>
      </c>
      <c r="T103" s="180">
        <f>_xlfn.IFNA(VLOOKUP($A103,[1]IRESS!$A$11:$AE$696,22,FALSE)/100,"n/a")</f>
        <v>0.3</v>
      </c>
      <c r="V103" s="35">
        <f>IFERROR((VLOOKUP($A103,[1]IRESS!$A$11:$AE$696,20,FALSE)/100)/R103,"n/a")</f>
        <v>0</v>
      </c>
      <c r="W103" s="181">
        <f>IFERROR(VLOOKUP($A103,[1]Morningstar!$A$2:$F$477,3,FALSE),"n/a")</f>
        <v>6.5799999999999997E-2</v>
      </c>
      <c r="X103" s="35">
        <f>IFERROR(VLOOKUP($A103,[1]Morningstar!$A$2:$F$477,4,FALSE),"n/a")</f>
        <v>9.4600000000000004E-2</v>
      </c>
      <c r="Y103" s="181">
        <f>IFERROR(VLOOKUP($A103,[1]Morningstar!$A$2:$F$477,5,FALSE),"n/a")</f>
        <v>4.1000000000000003E-3</v>
      </c>
      <c r="Z103" s="35">
        <f>IFERROR(VLOOKUP($A103,[1]Morningstar!$A$2:$F$477,6,FALSE),"n/a")</f>
        <v>6.4000000000000003E-3</v>
      </c>
    </row>
    <row r="104" spans="1:26" s="167" customFormat="1">
      <c r="A104" s="173" t="s">
        <v>115</v>
      </c>
      <c r="B104" s="182"/>
      <c r="C104" s="182"/>
      <c r="D104" s="182"/>
      <c r="E104" s="9"/>
      <c r="F104" s="183"/>
      <c r="G104" s="183"/>
      <c r="H104" s="183"/>
      <c r="I104" s="183"/>
      <c r="J104" s="184"/>
      <c r="K104" s="184"/>
      <c r="L104" s="184"/>
      <c r="M104" s="185"/>
      <c r="N104" s="186"/>
      <c r="O104" s="187"/>
      <c r="P104" s="188"/>
      <c r="Q104" s="9"/>
      <c r="R104" s="189"/>
      <c r="S104" s="189"/>
      <c r="T104" s="189"/>
      <c r="U104" s="7"/>
      <c r="V104" s="190"/>
      <c r="W104" s="191"/>
      <c r="X104" s="191"/>
      <c r="Y104" s="191"/>
      <c r="Z104" s="182"/>
    </row>
    <row r="105" spans="1:26">
      <c r="A105" s="21" t="s">
        <v>599</v>
      </c>
      <c r="B105" s="174" t="s">
        <v>508</v>
      </c>
      <c r="C105" s="46" t="str">
        <f>VLOOKUP(A105,'[1]LIC List'!$A$2:$B$136,2,FALSE)</f>
        <v>8I Holdings Ltd</v>
      </c>
      <c r="D105" s="24"/>
      <c r="E105" s="9"/>
      <c r="F105" s="176" t="str">
        <f>_xlfn.IFNA(VLOOKUP(A105,'[1]LIC List'!$A$2:$I$136,6,FALSE),"n/a")</f>
        <v>n/a</v>
      </c>
      <c r="G105" s="26">
        <f>_xlfn.IFNA(VLOOKUP(A105,'[1]LIC List'!$A$2:$J$112,10,FALSE),"n/a")</f>
        <v>0</v>
      </c>
      <c r="H105" s="176">
        <f>_xlfn.IFNA(VLOOKUP(A105,'[1]LIC List'!$A$2:$J$145,8,FALSE)/1000000,"n/a")</f>
        <v>45.247322625000002</v>
      </c>
      <c r="I105" s="26">
        <f>_xlfn.IFNA(VLOOKUP(A105,'[1]LIC List'!$A$2:$N$136,14,FALSE)/1000000,"n/a")</f>
        <v>0</v>
      </c>
      <c r="J105" s="177">
        <f>_xlfn.IFNA(VLOOKUP(A105,[1]IRESS!$A$10:$F$875,5,FALSE),"n/a")</f>
        <v>61296.154999999999</v>
      </c>
      <c r="K105" s="28">
        <f>_xlfn.IFNA(VLOOKUP(A105,[1]IRESS!$A$11:$G$772,7,FALSE),"n/a")</f>
        <v>507439</v>
      </c>
      <c r="L105" s="177">
        <f>_xlfn.IFNA(VLOOKUP(A105,[1]IRESS!$A$10:$F$875,4,FALSE),"n/a")</f>
        <v>28</v>
      </c>
      <c r="M105" s="29">
        <f t="shared" si="1"/>
        <v>1.1214785109066991E-2</v>
      </c>
      <c r="N105" s="104" t="e">
        <f>VLOOKUP(A105,[1]Spreads!$A$1:$G$87,7,FALSE)</f>
        <v>#N/A</v>
      </c>
      <c r="O105" s="178">
        <f>IFERROR(VLOOKUP(A105,'[1]LIC List'!$E$2:$R$112,14,FALSE),"n/a")</f>
        <v>0.13646695154104904</v>
      </c>
      <c r="P105" s="179">
        <f>IFERROR(VLOOKUP(A105,[1]NAV!$B$3:$F$310,5,FALSE),"n/a")</f>
        <v>43251</v>
      </c>
      <c r="Q105" s="9"/>
      <c r="R105" s="180">
        <f>_xlfn.IFNA(VLOOKUP($A105,[1]IRESS!$A$11:$AE$696,6,FALSE)/100,"n/a")</f>
        <v>0.125</v>
      </c>
      <c r="S105" s="32">
        <f>_xlfn.IFNA(VLOOKUP($A105,[1]IRESS!$A$11:$AE$696,21,FALSE)/100,"n/a")</f>
        <v>0.5</v>
      </c>
      <c r="T105" s="180">
        <f>_xlfn.IFNA(VLOOKUP($A105,[1]IRESS!$A$11:$AE$696,22,FALSE)/100,"n/a")</f>
        <v>0.115</v>
      </c>
      <c r="V105" s="35">
        <f>IFERROR((VLOOKUP($A105,[1]IRESS!$A$11:$AE$696,20,FALSE)/100)/R105,"n/a")</f>
        <v>1.8624000000000002E-2</v>
      </c>
      <c r="W105" s="181">
        <f>IFERROR(VLOOKUP($A105,[1]Morningstar!$A$2:$F$477,3,FALSE),"n/a")</f>
        <v>0</v>
      </c>
      <c r="X105" s="35">
        <f>IFERROR(VLOOKUP($A105,[1]Morningstar!$A$2:$F$477,4,FALSE),"n/a")</f>
        <v>-0.72070000000000001</v>
      </c>
      <c r="Y105" s="181">
        <f>IFERROR(VLOOKUP($A105,[1]Morningstar!$A$2:$F$477,5,FALSE),"n/a")</f>
        <v>-0.46920000000000001</v>
      </c>
      <c r="Z105" s="35" t="str">
        <f>IFERROR(VLOOKUP($A105,[1]Morningstar!$A$2:$F$477,6,FALSE),"n/a")</f>
        <v>n/a</v>
      </c>
    </row>
    <row r="106" spans="1:26">
      <c r="A106" s="21" t="s">
        <v>600</v>
      </c>
      <c r="B106" s="174" t="s">
        <v>601</v>
      </c>
      <c r="C106" s="46" t="str">
        <f>VLOOKUP(A106,'[1]LIC List'!$A$2:$B$136,2,FALSE)</f>
        <v>Evans &amp; Partners Asia Fund</v>
      </c>
      <c r="D106" s="24"/>
      <c r="E106" s="47"/>
      <c r="F106" s="176">
        <f>_xlfn.IFNA(VLOOKUP(A106,'[1]LIC List'!$A$2:$I$136,6,FALSE),"n/a")</f>
        <v>1.6</v>
      </c>
      <c r="G106" s="26" t="str">
        <f>_xlfn.IFNA(VLOOKUP(A106,'[1]LIC List'!$A$2:$J$112,10,FALSE),"n/a")</f>
        <v>No</v>
      </c>
      <c r="H106" s="176">
        <f>_xlfn.IFNA(VLOOKUP(A106,'[1]LIC List'!$A$2:$J$145,8,FALSE)/1000000,"n/a")</f>
        <v>157.71718016999998</v>
      </c>
      <c r="I106" s="26">
        <f>_xlfn.IFNA(VLOOKUP(A106,'[1]LIC List'!$A$2:$N$136,14,FALSE)/1000000,"n/a")</f>
        <v>-1.3034477700000107</v>
      </c>
      <c r="J106" s="177">
        <f>_xlfn.IFNA(VLOOKUP(A106,[1]IRESS!$A$10:$F$875,5,FALSE),"n/a")</f>
        <v>1201672.7100000002</v>
      </c>
      <c r="K106" s="28">
        <f>_xlfn.IFNA(VLOOKUP(A106,[1]IRESS!$A$11:$G$772,7,FALSE),"n/a")</f>
        <v>967865</v>
      </c>
      <c r="L106" s="177">
        <f>_xlfn.IFNA(VLOOKUP(A106,[1]IRESS!$A$10:$F$875,4,FALSE),"n/a")</f>
        <v>98</v>
      </c>
      <c r="M106" s="29">
        <f>IFERROR(+K106/(H106*1000000),"n/a")</f>
        <v>6.1367125569754604E-3</v>
      </c>
      <c r="N106" s="104" t="e">
        <f>VLOOKUP(A106,[1]Spreads!$A$1:$G$87,7,FALSE)</f>
        <v>#N/A</v>
      </c>
      <c r="O106" s="178">
        <f>IFERROR(VLOOKUP(A106,'[1]LIC List'!$E$2:$R$112,14,FALSE),"n/a")</f>
        <v>-3.9370078740157521E-2</v>
      </c>
      <c r="P106" s="179">
        <f>IFERROR(VLOOKUP(A106,[1]NAV!$B$3:$F$310,5,FALSE),"n/a")</f>
        <v>43251</v>
      </c>
      <c r="Q106" s="47"/>
      <c r="R106" s="180">
        <f>_xlfn.IFNA(VLOOKUP($A106,[1]IRESS!$A$11:$AE$696,6,FALSE)/100,"n/a")</f>
        <v>1.21</v>
      </c>
      <c r="S106" s="32">
        <f>_xlfn.IFNA(VLOOKUP($A106,[1]IRESS!$A$11:$AE$696,21,FALSE)/100,"n/a")</f>
        <v>1.2749999999999999</v>
      </c>
      <c r="T106" s="180">
        <f>_xlfn.IFNA(VLOOKUP($A106,[1]IRESS!$A$11:$AE$696,22,FALSE)/100,"n/a")</f>
        <v>1.1000000000000001</v>
      </c>
      <c r="V106" s="35">
        <f>IFERROR((VLOOKUP($A106,[1]IRESS!$A$11:$AE$696,20,FALSE)/100)/R106,"n/a")</f>
        <v>2.1487603305785127E-2</v>
      </c>
      <c r="W106" s="181">
        <f>IFERROR(VLOOKUP($A106,[1]Morningstar!$A$2:$F$477,3,FALSE),"n/a")</f>
        <v>-1.15E-2</v>
      </c>
      <c r="X106" s="35" t="str">
        <f>IFERROR(VLOOKUP($A106,[1]Morningstar!$A$2:$F$477,4,FALSE),"n/a")</f>
        <v>n/a</v>
      </c>
      <c r="Y106" s="181" t="str">
        <f>IFERROR(VLOOKUP($A106,[1]Morningstar!$A$2:$F$477,5,FALSE),"n/a")</f>
        <v>n/a</v>
      </c>
      <c r="Z106" s="35" t="str">
        <f>IFERROR(VLOOKUP($A106,[1]Morningstar!$A$2:$F$477,6,FALSE),"n/a")</f>
        <v>n/a</v>
      </c>
    </row>
    <row r="107" spans="1:26">
      <c r="A107" s="21" t="s">
        <v>602</v>
      </c>
      <c r="B107" s="174" t="s">
        <v>508</v>
      </c>
      <c r="C107" s="46" t="str">
        <f>VLOOKUP(A107,'[1]LIC List'!$A$2:$B$136,2,FALSE)</f>
        <v>Ellerston Asian Investments Limited</v>
      </c>
      <c r="D107" s="24"/>
      <c r="E107" s="9"/>
      <c r="F107" s="176">
        <f>_xlfn.IFNA(VLOOKUP(A107,'[1]LIC List'!$A$2:$I$136,6,FALSE),"n/a")</f>
        <v>0.95</v>
      </c>
      <c r="G107" s="26" t="str">
        <f>_xlfn.IFNA(VLOOKUP(A107,'[1]LIC List'!$A$2:$J$112,10,FALSE),"n/a")</f>
        <v>Yes</v>
      </c>
      <c r="H107" s="176">
        <f>_xlfn.IFNA(VLOOKUP(A107,'[1]LIC List'!$A$2:$J$145,8,FALSE)/1000000,"n/a")</f>
        <v>116.59877097499999</v>
      </c>
      <c r="I107" s="26">
        <f>_xlfn.IFNA(VLOOKUP(A107,'[1]LIC List'!$A$2:$N$136,14,FALSE)/1000000,"n/a")</f>
        <v>-1.8243000250000059</v>
      </c>
      <c r="J107" s="177">
        <f>_xlfn.IFNA(VLOOKUP(A107,[1]IRESS!$A$10:$F$875,5,FALSE),"n/a")</f>
        <v>3258547.4349999996</v>
      </c>
      <c r="K107" s="28">
        <f>_xlfn.IFNA(VLOOKUP(A107,[1]IRESS!$A$11:$G$772,7,FALSE),"n/a")</f>
        <v>2996718</v>
      </c>
      <c r="L107" s="177">
        <f>_xlfn.IFNA(VLOOKUP(A107,[1]IRESS!$A$10:$F$875,4,FALSE),"n/a")</f>
        <v>411</v>
      </c>
      <c r="M107" s="29">
        <f t="shared" si="1"/>
        <v>2.5701111383434116E-2</v>
      </c>
      <c r="N107" s="104" t="e">
        <f>VLOOKUP(A107,[1]Spreads!$A$1:$G$87,7,FALSE)</f>
        <v>#N/A</v>
      </c>
      <c r="O107" s="178">
        <f>IFERROR(VLOOKUP(A107,'[1]LIC List'!$E$2:$R$112,14,FALSE),"n/a")</f>
        <v>-0.11625291234835688</v>
      </c>
      <c r="P107" s="179">
        <f>IFERROR(VLOOKUP(A107,[1]NAV!$B$3:$F$310,5,FALSE),"n/a")</f>
        <v>43251</v>
      </c>
      <c r="Q107" s="9"/>
      <c r="R107" s="180">
        <f>_xlfn.IFNA(VLOOKUP($A107,[1]IRESS!$A$11:$AE$696,6,FALSE)/100,"n/a")</f>
        <v>1.07</v>
      </c>
      <c r="S107" s="32">
        <f>_xlfn.IFNA(VLOOKUP($A107,[1]IRESS!$A$11:$AE$696,21,FALSE)/100,"n/a")</f>
        <v>1.165</v>
      </c>
      <c r="T107" s="180">
        <f>_xlfn.IFNA(VLOOKUP($A107,[1]IRESS!$A$11:$AE$696,22,FALSE)/100,"n/a")</f>
        <v>0.9</v>
      </c>
      <c r="V107" s="35">
        <f>IFERROR((VLOOKUP($A107,[1]IRESS!$A$11:$AE$696,20,FALSE)/100)/R107,"n/a")</f>
        <v>0</v>
      </c>
      <c r="W107" s="181">
        <f>IFERROR(VLOOKUP($A107,[1]Morningstar!$A$2:$F$477,3,FALSE),"n/a")</f>
        <v>-3.15E-2</v>
      </c>
      <c r="X107" s="35">
        <f>IFERROR(VLOOKUP($A107,[1]Morningstar!$A$2:$F$477,4,FALSE),"n/a")</f>
        <v>0.14960000000000001</v>
      </c>
      <c r="Y107" s="181" t="str">
        <f>IFERROR(VLOOKUP($A107,[1]Morningstar!$A$2:$F$477,5,FALSE),"n/a")</f>
        <v>n/a</v>
      </c>
      <c r="Z107" s="35" t="str">
        <f>IFERROR(VLOOKUP($A107,[1]Morningstar!$A$2:$F$477,6,FALSE),"n/a")</f>
        <v>n/a</v>
      </c>
    </row>
    <row r="108" spans="1:26">
      <c r="A108" s="21" t="s">
        <v>603</v>
      </c>
      <c r="B108" s="174" t="s">
        <v>508</v>
      </c>
      <c r="C108" s="46" t="str">
        <f>VLOOKUP(A108,'[1]LIC List'!$A$2:$B$136,2,FALSE)</f>
        <v>PM Capital Asian Opportunities Fund Limited</v>
      </c>
      <c r="D108" s="24"/>
      <c r="E108" s="9"/>
      <c r="F108" s="176">
        <f>_xlfn.IFNA(VLOOKUP(A108,'[1]LIC List'!$A$2:$I$136,6,FALSE),"n/a")</f>
        <v>1</v>
      </c>
      <c r="G108" s="26" t="str">
        <f>_xlfn.IFNA(VLOOKUP(A108,'[1]LIC List'!$A$2:$J$112,10,FALSE),"n/a")</f>
        <v>Yes</v>
      </c>
      <c r="H108" s="176">
        <f>_xlfn.IFNA(VLOOKUP(A108,'[1]LIC List'!$A$2:$J$145,8,FALSE)/1000000,"n/a")</f>
        <v>63.634709259999994</v>
      </c>
      <c r="I108" s="26">
        <f>_xlfn.IFNA(VLOOKUP(A108,'[1]LIC List'!$A$2:$N$136,14,FALSE)/1000000,"n/a")</f>
        <v>-7.3208072600000049</v>
      </c>
      <c r="J108" s="177">
        <f>_xlfn.IFNA(VLOOKUP(A108,[1]IRESS!$A$10:$F$875,5,FALSE),"n/a")</f>
        <v>1957367.3800000001</v>
      </c>
      <c r="K108" s="28">
        <f>_xlfn.IFNA(VLOOKUP(A108,[1]IRESS!$A$11:$G$772,7,FALSE),"n/a")</f>
        <v>1628831</v>
      </c>
      <c r="L108" s="177">
        <f>_xlfn.IFNA(VLOOKUP(A108,[1]IRESS!$A$10:$F$875,4,FALSE),"n/a")</f>
        <v>297</v>
      </c>
      <c r="M108" s="29">
        <f t="shared" si="1"/>
        <v>2.5596581157382038E-2</v>
      </c>
      <c r="N108" s="104" t="e">
        <f>VLOOKUP(A108,[1]Spreads!$A$1:$G$87,7,FALSE)</f>
        <v>#N/A</v>
      </c>
      <c r="O108" s="178">
        <f>IFERROR(VLOOKUP(A108,'[1]LIC List'!$E$2:$R$112,14,FALSE),"n/a")</f>
        <v>-2.3432008123092096E-4</v>
      </c>
      <c r="P108" s="179">
        <f>IFERROR(VLOOKUP(A108,[1]NAV!$B$3:$F$310,5,FALSE),"n/a")</f>
        <v>43251</v>
      </c>
      <c r="Q108" s="9"/>
      <c r="R108" s="180">
        <f>_xlfn.IFNA(VLOOKUP($A108,[1]IRESS!$A$11:$AE$696,6,FALSE)/100,"n/a")</f>
        <v>1.1299999999999999</v>
      </c>
      <c r="S108" s="32">
        <f>_xlfn.IFNA(VLOOKUP($A108,[1]IRESS!$A$11:$AE$696,21,FALSE)/100,"n/a")</f>
        <v>1.38</v>
      </c>
      <c r="T108" s="180">
        <f>_xlfn.IFNA(VLOOKUP($A108,[1]IRESS!$A$11:$AE$696,22,FALSE)/100,"n/a")</f>
        <v>1.07</v>
      </c>
      <c r="V108" s="35">
        <f>IFERROR((VLOOKUP($A108,[1]IRESS!$A$11:$AE$696,20,FALSE)/100)/R108,"n/a")</f>
        <v>4.4247787610619475E-2</v>
      </c>
      <c r="W108" s="181">
        <f>IFERROR(VLOOKUP($A108,[1]Morningstar!$A$2:$F$477,3,FALSE),"n/a")</f>
        <v>-0.1171</v>
      </c>
      <c r="X108" s="35">
        <f>IFERROR(VLOOKUP($A108,[1]Morningstar!$A$2:$F$477,4,FALSE),"n/a")</f>
        <v>8.0500000000000002E-2</v>
      </c>
      <c r="Y108" s="181">
        <f>IFERROR(VLOOKUP($A108,[1]Morningstar!$A$2:$F$477,5,FALSE),"n/a")</f>
        <v>9.0999999999999998E-2</v>
      </c>
      <c r="Z108" s="35" t="str">
        <f>IFERROR(VLOOKUP($A108,[1]Morningstar!$A$2:$F$477,6,FALSE),"n/a")</f>
        <v>n/a</v>
      </c>
    </row>
    <row r="109" spans="1:26">
      <c r="A109" s="21" t="s">
        <v>604</v>
      </c>
      <c r="B109" s="174" t="s">
        <v>508</v>
      </c>
      <c r="C109" s="46" t="str">
        <f>VLOOKUP(A109,'[1]LIC List'!$A$2:$B$136,2,FALSE)</f>
        <v>Platinum Asia Investments Limited</v>
      </c>
      <c r="D109" s="24"/>
      <c r="E109" s="9"/>
      <c r="F109" s="176">
        <f>_xlfn.IFNA(VLOOKUP(A109,'[1]LIC List'!$A$2:$I$136,6,FALSE),"n/a")</f>
        <v>1.1000000000000001</v>
      </c>
      <c r="G109" s="26" t="str">
        <f>_xlfn.IFNA(VLOOKUP(A109,'[1]LIC List'!$A$2:$J$112,10,FALSE),"n/a")</f>
        <v>Yes</v>
      </c>
      <c r="H109" s="176">
        <f>_xlfn.IFNA(VLOOKUP(A109,'[1]LIC List'!$A$2:$J$145,8,FALSE)/1000000,"n/a")</f>
        <v>453.60452844000002</v>
      </c>
      <c r="I109" s="26">
        <f>_xlfn.IFNA(VLOOKUP(A109,'[1]LIC List'!$A$2:$N$136,14,FALSE)/1000000,"n/a")</f>
        <v>-7.200071879999995</v>
      </c>
      <c r="J109" s="177">
        <f>_xlfn.IFNA(VLOOKUP(A109,[1]IRESS!$A$10:$F$875,5,FALSE),"n/a")</f>
        <v>7582308.4349999996</v>
      </c>
      <c r="K109" s="28">
        <f>_xlfn.IFNA(VLOOKUP(A109,[1]IRESS!$A$11:$G$772,7,FALSE),"n/a")</f>
        <v>5858562</v>
      </c>
      <c r="L109" s="177">
        <f>_xlfn.IFNA(VLOOKUP(A109,[1]IRESS!$A$10:$F$875,4,FALSE),"n/a")</f>
        <v>1559</v>
      </c>
      <c r="M109" s="29">
        <f t="shared" si="1"/>
        <v>1.2915572117739416E-2</v>
      </c>
      <c r="N109" s="104" t="e">
        <f>VLOOKUP(A109,[1]Spreads!$A$1:$G$87,7,FALSE)</f>
        <v>#N/A</v>
      </c>
      <c r="O109" s="178">
        <f>IFERROR(VLOOKUP(A109,'[1]LIC List'!$E$2:$R$112,14,FALSE),"n/a")</f>
        <v>3.242458461042097E-2</v>
      </c>
      <c r="P109" s="179">
        <f>IFERROR(VLOOKUP(A109,[1]NAV!$B$3:$F$310,5,FALSE),"n/a")</f>
        <v>43251</v>
      </c>
      <c r="Q109" s="9"/>
      <c r="R109" s="180">
        <f>_xlfn.IFNA(VLOOKUP($A109,[1]IRESS!$A$11:$AE$696,6,FALSE)/100,"n/a")</f>
        <v>1.26</v>
      </c>
      <c r="S109" s="32">
        <f>_xlfn.IFNA(VLOOKUP($A109,[1]IRESS!$A$11:$AE$696,21,FALSE)/100,"n/a")</f>
        <v>1.395</v>
      </c>
      <c r="T109" s="180">
        <f>_xlfn.IFNA(VLOOKUP($A109,[1]IRESS!$A$11:$AE$696,22,FALSE)/100,"n/a")</f>
        <v>1.01</v>
      </c>
      <c r="V109" s="35">
        <f>IFERROR((VLOOKUP($A109,[1]IRESS!$A$11:$AE$696,20,FALSE)/100)/R109,"n/a")</f>
        <v>3.9682539682539687E-2</v>
      </c>
      <c r="W109" s="181">
        <f>IFERROR(VLOOKUP($A109,[1]Morningstar!$A$2:$F$477,3,FALSE),"n/a")</f>
        <v>-2.7E-2</v>
      </c>
      <c r="X109" s="35">
        <f>IFERROR(VLOOKUP($A109,[1]Morningstar!$A$2:$F$477,4,FALSE),"n/a")</f>
        <v>0.29220000000000002</v>
      </c>
      <c r="Y109" s="181" t="str">
        <f>IFERROR(VLOOKUP($A109,[1]Morningstar!$A$2:$F$477,5,FALSE),"n/a")</f>
        <v>n/a</v>
      </c>
      <c r="Z109" s="35" t="str">
        <f>IFERROR(VLOOKUP($A109,[1]Morningstar!$A$2:$F$477,6,FALSE),"n/a")</f>
        <v>n/a</v>
      </c>
    </row>
    <row r="110" spans="1:26" s="167" customFormat="1">
      <c r="A110" s="173" t="s">
        <v>125</v>
      </c>
      <c r="B110" s="182"/>
      <c r="C110" s="182"/>
      <c r="D110" s="182"/>
      <c r="E110" s="9"/>
      <c r="F110" s="183" t="str">
        <f>_xlfn.IFNA(VLOOKUP(A110,'[1]LIC List'!$A$2:$I$136,6,FALSE),"n/a")</f>
        <v>n/a</v>
      </c>
      <c r="G110" s="183" t="str">
        <f>_xlfn.IFNA(VLOOKUP(A110,'[1]LIC List'!$A$2:$J$112,10,FALSE),"n/a")</f>
        <v>n/a</v>
      </c>
      <c r="H110" s="183" t="str">
        <f ca="1">_xlfn.IFNA(VLOOKUP(A110,'[1]LIC List'!$A$2:$J$145,8,FALSE)/1000000,"n/a")</f>
        <v>n/a</v>
      </c>
      <c r="I110" s="183" t="str">
        <f>_xlfn.IFNA(VLOOKUP(A110,'[1]LIC List'!$A$2:$N$136,14,FALSE)/1000000,"n/a")</f>
        <v>n/a</v>
      </c>
      <c r="J110" s="184" t="str">
        <f>_xlfn.IFNA(VLOOKUP(A110,[1]IRESS!$A$10:$F$875,5,FALSE),"n/a")</f>
        <v>n/a</v>
      </c>
      <c r="K110" s="184" t="str">
        <f>_xlfn.IFNA(VLOOKUP(A110,[1]IRESS!$A$11:$G$772,7,FALSE),"n/a")</f>
        <v>n/a</v>
      </c>
      <c r="L110" s="184" t="str">
        <f>_xlfn.IFNA(VLOOKUP(A110,[1]IRESS!$A$10:$F$875,4,FALSE),"n/a")</f>
        <v>n/a</v>
      </c>
      <c r="M110" s="185" t="str">
        <f t="shared" ca="1" si="1"/>
        <v>n/a</v>
      </c>
      <c r="N110" s="186" t="e">
        <f>VLOOKUP(A110,[1]Spreads!$A$1:$G$87,7,FALSE)</f>
        <v>#N/A</v>
      </c>
      <c r="O110" s="187" t="str">
        <f>IFERROR(VLOOKUP(A110,'[1]LIC List'!$E$2:$R$112,14,FALSE),"n/a")</f>
        <v>n/a</v>
      </c>
      <c r="P110" s="188" t="str">
        <f>IFERROR(VLOOKUP(A110,[1]NAV!$B$3:$F$310,5,FALSE),"n/a")</f>
        <v>n/a</v>
      </c>
      <c r="Q110" s="9"/>
      <c r="R110" s="189" t="str">
        <f>_xlfn.IFNA(VLOOKUP($A110,[1]IRESS!$A$11:$AE$696,6,FALSE)/100,"n/a")</f>
        <v>n/a</v>
      </c>
      <c r="S110" s="189" t="str">
        <f>_xlfn.IFNA(VLOOKUP($A110,[1]IRESS!$A$11:$AE$696,21,FALSE)/100,"n/a")</f>
        <v>n/a</v>
      </c>
      <c r="T110" s="189" t="str">
        <f>_xlfn.IFNA(VLOOKUP($A110,[1]IRESS!$A$11:$AE$696,22,FALSE)/100,"n/a")</f>
        <v>n/a</v>
      </c>
      <c r="U110" s="7"/>
      <c r="V110" s="190"/>
      <c r="W110" s="191"/>
      <c r="X110" s="191"/>
      <c r="Y110" s="191"/>
      <c r="Z110" s="182"/>
    </row>
    <row r="111" spans="1:26">
      <c r="A111" s="21" t="s">
        <v>605</v>
      </c>
      <c r="B111" s="174" t="s">
        <v>529</v>
      </c>
      <c r="C111" s="46" t="str">
        <f>VLOOKUP(A111,'[1]LIC List'!$A$2:$B$136,2,FALSE)</f>
        <v>Emerging Markets Masters Fund</v>
      </c>
      <c r="D111" s="24"/>
      <c r="E111" s="9"/>
      <c r="F111" s="176">
        <f>_xlfn.IFNA(VLOOKUP(A111,'[1]LIC List'!$A$2:$I$136,6,FALSE),"n/a")</f>
        <v>1.08</v>
      </c>
      <c r="G111" s="26" t="str">
        <f>_xlfn.IFNA(VLOOKUP(A111,'[1]LIC List'!$A$2:$J$112,10,FALSE),"n/a")</f>
        <v>No</v>
      </c>
      <c r="H111" s="176">
        <f>_xlfn.IFNA(VLOOKUP(A111,'[1]LIC List'!$A$2:$J$145,8,FALSE)/1000000,"n/a")</f>
        <v>139.53002314</v>
      </c>
      <c r="I111" s="26">
        <f>_xlfn.IFNA(VLOOKUP(A111,'[1]LIC List'!$A$2:$N$136,14,FALSE)/1000000,"n/a")</f>
        <v>-49.695624680000009</v>
      </c>
      <c r="J111" s="177">
        <f>_xlfn.IFNA(VLOOKUP(A111,[1]IRESS!$A$10:$F$875,5,FALSE),"n/a")</f>
        <v>3006684.5150000006</v>
      </c>
      <c r="K111" s="28">
        <f>_xlfn.IFNA(VLOOKUP(A111,[1]IRESS!$A$11:$G$772,7,FALSE),"n/a")</f>
        <v>1518772</v>
      </c>
      <c r="L111" s="177">
        <f>_xlfn.IFNA(VLOOKUP(A111,[1]IRESS!$A$10:$F$875,4,FALSE),"n/a")</f>
        <v>203</v>
      </c>
      <c r="M111" s="29">
        <f t="shared" si="1"/>
        <v>1.0884911833463344E-2</v>
      </c>
      <c r="N111" s="104" t="e">
        <f>VLOOKUP(A111,[1]Spreads!$A$1:$G$87,7,FALSE)</f>
        <v>#N/A</v>
      </c>
      <c r="O111" s="178">
        <f>IFERROR(VLOOKUP(A111,'[1]LIC List'!$E$2:$R$112,14,FALSE),"n/a")</f>
        <v>-3.4146341463414553E-2</v>
      </c>
      <c r="P111" s="179">
        <f>IFERROR(VLOOKUP(A111,[1]NAV!$B$3:$F$310,5,FALSE),"n/a")</f>
        <v>43251</v>
      </c>
      <c r="Q111" s="9"/>
      <c r="R111" s="180">
        <f>_xlfn.IFNA(VLOOKUP($A111,[1]IRESS!$A$11:$AE$696,6,FALSE)/100,"n/a")</f>
        <v>1.46</v>
      </c>
      <c r="S111" s="32">
        <f>_xlfn.IFNA(VLOOKUP($A111,[1]IRESS!$A$11:$AE$696,21,FALSE)/100,"n/a")</f>
        <v>2.19</v>
      </c>
      <c r="T111" s="180">
        <f>_xlfn.IFNA(VLOOKUP($A111,[1]IRESS!$A$11:$AE$696,22,FALSE)/100,"n/a")</f>
        <v>1.4550000000000001</v>
      </c>
      <c r="V111" s="35">
        <f>IFERROR((VLOOKUP($A111,[1]IRESS!$A$11:$AE$696,20,FALSE)/100)/R111,"n/a")</f>
        <v>0.35739041095890411</v>
      </c>
      <c r="W111" s="181">
        <f>IFERROR(VLOOKUP($A111,[1]Morningstar!$A$2:$F$477,3,FALSE),"n/a")</f>
        <v>-2.12E-2</v>
      </c>
      <c r="X111" s="35">
        <f>IFERROR(VLOOKUP($A111,[1]Morningstar!$A$2:$F$477,4,FALSE),"n/a")</f>
        <v>4.7399999999999998E-2</v>
      </c>
      <c r="Y111" s="181">
        <f>IFERROR(VLOOKUP($A111,[1]Morningstar!$A$2:$F$477,5,FALSE),"n/a")</f>
        <v>1.6799999999999999E-2</v>
      </c>
      <c r="Z111" s="35">
        <f>IFERROR(VLOOKUP($A111,[1]Morningstar!$A$2:$F$477,6,FALSE),"n/a")</f>
        <v>6.9199999999999998E-2</v>
      </c>
    </row>
    <row r="112" spans="1:26" s="167" customFormat="1">
      <c r="A112" s="173" t="s">
        <v>142</v>
      </c>
      <c r="B112" s="182"/>
      <c r="C112" s="182"/>
      <c r="D112" s="182"/>
      <c r="E112" s="9"/>
      <c r="F112" s="183" t="str">
        <f>_xlfn.IFNA(VLOOKUP(A112,'[1]LIC List'!$A$2:$I$136,6,FALSE),"n/a")</f>
        <v>n/a</v>
      </c>
      <c r="G112" s="183" t="str">
        <f>_xlfn.IFNA(VLOOKUP(A112,'[1]LIC List'!$A$2:$J$112,10,FALSE),"n/a")</f>
        <v>n/a</v>
      </c>
      <c r="H112" s="183" t="str">
        <f ca="1">_xlfn.IFNA(VLOOKUP(A112,'[1]LIC List'!$A$2:$J$145,8,FALSE)/1000000,"n/a")</f>
        <v>n/a</v>
      </c>
      <c r="I112" s="183" t="str">
        <f>_xlfn.IFNA(VLOOKUP(A112,'[1]LIC List'!$A$2:$N$136,14,FALSE)/1000000,"n/a")</f>
        <v>n/a</v>
      </c>
      <c r="J112" s="184" t="str">
        <f>_xlfn.IFNA(VLOOKUP(A112,[1]IRESS!$A$10:$F$875,5,FALSE),"n/a")</f>
        <v>n/a</v>
      </c>
      <c r="K112" s="184" t="str">
        <f>_xlfn.IFNA(VLOOKUP(A112,[1]IRESS!$A$11:$G$772,7,FALSE),"n/a")</f>
        <v>n/a</v>
      </c>
      <c r="L112" s="184" t="str">
        <f>_xlfn.IFNA(VLOOKUP(A112,[1]IRESS!$A$10:$F$875,4,FALSE),"n/a")</f>
        <v>n/a</v>
      </c>
      <c r="M112" s="185" t="str">
        <f t="shared" ca="1" si="1"/>
        <v>n/a</v>
      </c>
      <c r="N112" s="186" t="e">
        <f>VLOOKUP(A112,[1]Spreads!$A$1:$G$87,7,FALSE)</f>
        <v>#N/A</v>
      </c>
      <c r="O112" s="187" t="str">
        <f>IFERROR(VLOOKUP(A112,'[1]LIC List'!$E$2:$R$112,14,FALSE),"n/a")</f>
        <v>n/a</v>
      </c>
      <c r="P112" s="188" t="str">
        <f>IFERROR(VLOOKUP(A112,[1]NAV!$B$3:$F$310,5,FALSE),"n/a")</f>
        <v>n/a</v>
      </c>
      <c r="Q112" s="9"/>
      <c r="R112" s="189" t="str">
        <f>_xlfn.IFNA(VLOOKUP($A112,[1]IRESS!$A$11:$AE$696,6,FALSE)/100,"n/a")</f>
        <v>n/a</v>
      </c>
      <c r="S112" s="189" t="str">
        <f>_xlfn.IFNA(VLOOKUP($A112,[1]IRESS!$A$11:$AE$696,21,FALSE)/100,"n/a")</f>
        <v>n/a</v>
      </c>
      <c r="T112" s="189" t="str">
        <f>_xlfn.IFNA(VLOOKUP($A112,[1]IRESS!$A$11:$AE$696,22,FALSE)/100,"n/a")</f>
        <v>n/a</v>
      </c>
      <c r="U112" s="7"/>
      <c r="V112" s="190"/>
      <c r="W112" s="191"/>
      <c r="X112" s="191"/>
      <c r="Y112" s="191"/>
      <c r="Z112" s="182"/>
    </row>
    <row r="113" spans="1:26">
      <c r="A113" s="21" t="s">
        <v>606</v>
      </c>
      <c r="B113" s="174" t="s">
        <v>529</v>
      </c>
      <c r="C113" s="46" t="str">
        <f>VLOOKUP(A113,'[1]LIC List'!$A$2:$B$136,2,FALSE)</f>
        <v>Alternative Investment Trust</v>
      </c>
      <c r="D113" s="24"/>
      <c r="E113" s="9"/>
      <c r="F113" s="176">
        <f>_xlfn.IFNA(VLOOKUP(A113,'[1]LIC List'!$A$2:$I$136,6,FALSE),"n/a")</f>
        <v>0.75</v>
      </c>
      <c r="G113" s="26" t="str">
        <f>_xlfn.IFNA(VLOOKUP(A113,'[1]LIC List'!$A$2:$J$112,10,FALSE),"n/a")</f>
        <v>n/a</v>
      </c>
      <c r="H113" s="176">
        <f>_xlfn.IFNA(VLOOKUP(A113,'[1]LIC List'!$A$2:$J$145,8,FALSE)/1000000,"n/a")</f>
        <v>10.681628193999998</v>
      </c>
      <c r="I113" s="26">
        <f>_xlfn.IFNA(VLOOKUP(A113,'[1]LIC List'!$A$2:$N$136,14,FALSE)/1000000,"n/a")</f>
        <v>2.6822183979999981</v>
      </c>
      <c r="J113" s="177">
        <f>_xlfn.IFNA(VLOOKUP(A113,[1]IRESS!$A$10:$F$875,5,FALSE),"n/a")</f>
        <v>4995.9719999999998</v>
      </c>
      <c r="K113" s="28">
        <f>_xlfn.IFNA(VLOOKUP(A113,[1]IRESS!$A$11:$G$772,7,FALSE),"n/a")</f>
        <v>59458</v>
      </c>
      <c r="L113" s="177">
        <f>_xlfn.IFNA(VLOOKUP(A113,[1]IRESS!$A$10:$F$875,4,FALSE),"n/a")</f>
        <v>15</v>
      </c>
      <c r="M113" s="29">
        <f t="shared" si="1"/>
        <v>5.5663798552170437E-3</v>
      </c>
      <c r="N113" s="104" t="e">
        <f>VLOOKUP(A113,[1]Spreads!$A$1:$G$87,7,FALSE)</f>
        <v>#N/A</v>
      </c>
      <c r="O113" s="178">
        <f>IFERROR(VLOOKUP(A113,'[1]LIC List'!$E$2:$R$112,14,FALSE),"n/a")</f>
        <v>-8.396946564885488E-2</v>
      </c>
      <c r="P113" s="179">
        <f>IFERROR(VLOOKUP(A113,[1]NAV!$B$3:$F$310,5,FALSE),"n/a")</f>
        <v>43251</v>
      </c>
      <c r="Q113" s="9"/>
      <c r="R113" s="180">
        <f>_xlfn.IFNA(VLOOKUP($A113,[1]IRESS!$A$11:$AE$696,6,FALSE)/100,"n/a")</f>
        <v>8.5000000000000006E-2</v>
      </c>
      <c r="S113" s="32">
        <f>_xlfn.IFNA(VLOOKUP($A113,[1]IRESS!$A$11:$AE$696,21,FALSE)/100,"n/a")</f>
        <v>9.5000000000000001E-2</v>
      </c>
      <c r="T113" s="180">
        <f>_xlfn.IFNA(VLOOKUP($A113,[1]IRESS!$A$11:$AE$696,22,FALSE)/100,"n/a")</f>
        <v>7.4999999999999997E-2</v>
      </c>
      <c r="V113" s="35">
        <f>IFERROR((VLOOKUP($A113,[1]IRESS!$A$11:$AE$696,20,FALSE)/100)/R113,"n/a")</f>
        <v>0</v>
      </c>
      <c r="W113" s="181">
        <f>IFERROR(VLOOKUP($A113,[1]Morningstar!$A$2:$F$477,3,FALSE),"n/a")</f>
        <v>1.1900000000000001E-2</v>
      </c>
      <c r="X113" s="35">
        <f>IFERROR(VLOOKUP($A113,[1]Morningstar!$A$2:$F$477,4,FALSE),"n/a")</f>
        <v>6.2399999999999997E-2</v>
      </c>
      <c r="Y113" s="181">
        <f>IFERROR(VLOOKUP($A113,[1]Morningstar!$A$2:$F$477,5,FALSE),"n/a")</f>
        <v>-5.2299999999999999E-2</v>
      </c>
      <c r="Z113" s="35">
        <f>IFERROR(VLOOKUP($A113,[1]Morningstar!$A$2:$F$477,6,FALSE),"n/a")</f>
        <v>6.2199999999999998E-2</v>
      </c>
    </row>
    <row r="114" spans="1:26">
      <c r="A114" s="21" t="s">
        <v>607</v>
      </c>
      <c r="B114" s="174" t="s">
        <v>508</v>
      </c>
      <c r="C114" s="46" t="str">
        <f>VLOOKUP(A114,'[1]LIC List'!$A$2:$B$136,2,FALSE)</f>
        <v>Benjamin Hornigold Limited</v>
      </c>
      <c r="D114" s="24"/>
      <c r="E114" s="9"/>
      <c r="F114" s="176">
        <f>_xlfn.IFNA(VLOOKUP(A114,'[1]LIC List'!$A$2:$I$136,6,FALSE),"n/a")</f>
        <v>3</v>
      </c>
      <c r="G114" s="26" t="str">
        <f>_xlfn.IFNA(VLOOKUP(A114,'[1]LIC List'!$A$2:$J$112,10,FALSE),"n/a")</f>
        <v>Yes</v>
      </c>
      <c r="H114" s="176">
        <f>_xlfn.IFNA(VLOOKUP(A114,'[1]LIC List'!$A$2:$J$145,8,FALSE)/1000000,"n/a")</f>
        <v>17.15022111</v>
      </c>
      <c r="I114" s="26">
        <f>_xlfn.IFNA(VLOOKUP(A114,'[1]LIC List'!$A$2:$N$136,14,FALSE)/1000000,"n/a")</f>
        <v>-0.96620964000000065</v>
      </c>
      <c r="J114" s="177">
        <f>_xlfn.IFNA(VLOOKUP(A114,[1]IRESS!$A$10:$F$875,5,FALSE),"n/a")</f>
        <v>502929.15</v>
      </c>
      <c r="K114" s="28">
        <f>_xlfn.IFNA(VLOOKUP(A114,[1]IRESS!$A$11:$G$772,7,FALSE),"n/a")</f>
        <v>711426</v>
      </c>
      <c r="L114" s="177">
        <f>_xlfn.IFNA(VLOOKUP(A114,[1]IRESS!$A$10:$F$875,4,FALSE),"n/a")</f>
        <v>155</v>
      </c>
      <c r="M114" s="29">
        <f t="shared" si="1"/>
        <v>4.1482030781817718E-2</v>
      </c>
      <c r="N114" s="104" t="e">
        <f>VLOOKUP(A114,[1]Spreads!$A$1:$G$87,7,FALSE)</f>
        <v>#N/A</v>
      </c>
      <c r="O114" s="178">
        <f>IFERROR(VLOOKUP(A114,'[1]LIC List'!$E$2:$R$112,14,FALSE),"n/a")</f>
        <v>-0.27825261158594494</v>
      </c>
      <c r="P114" s="179">
        <f>IFERROR(VLOOKUP(A114,[1]NAV!$B$3:$F$310,5,FALSE),"n/a")</f>
        <v>43251</v>
      </c>
      <c r="Q114" s="9"/>
      <c r="R114" s="180">
        <f>_xlfn.IFNA(VLOOKUP($A114,[1]IRESS!$A$11:$AE$696,6,FALSE)/100,"n/a")</f>
        <v>0.71</v>
      </c>
      <c r="S114" s="32">
        <f>_xlfn.IFNA(VLOOKUP($A114,[1]IRESS!$A$11:$AE$696,21,FALSE)/100,"n/a")</f>
        <v>1.06</v>
      </c>
      <c r="T114" s="180">
        <f>_xlfn.IFNA(VLOOKUP($A114,[1]IRESS!$A$11:$AE$696,22,FALSE)/100,"n/a")</f>
        <v>0.64500000000000002</v>
      </c>
      <c r="V114" s="35">
        <f>IFERROR((VLOOKUP($A114,[1]IRESS!$A$11:$AE$696,20,FALSE)/100)/R114,"n/a")</f>
        <v>0</v>
      </c>
      <c r="W114" s="181">
        <f>IFERROR(VLOOKUP($A114,[1]Morningstar!$A$2:$F$477,3,FALSE),"n/a")</f>
        <v>-6.5799999999999997E-2</v>
      </c>
      <c r="X114" s="35">
        <f>IFERROR(VLOOKUP($A114,[1]Morningstar!$A$2:$F$477,4,FALSE),"n/a")</f>
        <v>-0.1903</v>
      </c>
      <c r="Y114" s="181" t="str">
        <f>IFERROR(VLOOKUP($A114,[1]Morningstar!$A$2:$F$477,5,FALSE),"n/a")</f>
        <v>n/a</v>
      </c>
      <c r="Z114" s="35" t="str">
        <f>IFERROR(VLOOKUP($A114,[1]Morningstar!$A$2:$F$477,6,FALSE),"n/a")</f>
        <v>n/a</v>
      </c>
    </row>
    <row r="115" spans="1:26">
      <c r="A115" s="21" t="s">
        <v>608</v>
      </c>
      <c r="B115" s="174" t="s">
        <v>508</v>
      </c>
      <c r="C115" s="46" t="str">
        <f>VLOOKUP(A115,'[1]LIC List'!$A$2:$B$136,2,FALSE)</f>
        <v>Cordish Dixon Private Equity Fund I</v>
      </c>
      <c r="D115" s="24"/>
      <c r="E115" s="9"/>
      <c r="F115" s="176">
        <f>_xlfn.IFNA(VLOOKUP(A115,'[1]LIC List'!$A$2:$I$136,6,FALSE),"n/a")</f>
        <v>0.33</v>
      </c>
      <c r="G115" s="26" t="str">
        <f>_xlfn.IFNA(VLOOKUP(A115,'[1]LIC List'!$A$2:$J$112,10,FALSE),"n/a")</f>
        <v>No</v>
      </c>
      <c r="H115" s="176">
        <f>_xlfn.IFNA(VLOOKUP(A115,'[1]LIC List'!$A$2:$J$145,8,FALSE)/1000000,"n/a")</f>
        <v>64.762768559999998</v>
      </c>
      <c r="I115" s="26">
        <f>_xlfn.IFNA(VLOOKUP(A115,'[1]LIC List'!$A$2:$N$136,14,FALSE)/1000000,"n/a")</f>
        <v>-5.4619202400000022</v>
      </c>
      <c r="J115" s="177">
        <f>_xlfn.IFNA(VLOOKUP(A115,[1]IRESS!$A$10:$F$875,5,FALSE),"n/a")</f>
        <v>88549.53</v>
      </c>
      <c r="K115" s="28">
        <f>_xlfn.IFNA(VLOOKUP(A115,[1]IRESS!$A$11:$G$772,7,FALSE),"n/a")</f>
        <v>52202</v>
      </c>
      <c r="L115" s="177">
        <f>_xlfn.IFNA(VLOOKUP(A115,[1]IRESS!$A$10:$F$875,4,FALSE),"n/a")</f>
        <v>21</v>
      </c>
      <c r="M115" s="29">
        <f t="shared" si="1"/>
        <v>8.0604954298142814E-4</v>
      </c>
      <c r="N115" s="104" t="e">
        <f>VLOOKUP(A115,[1]Spreads!$A$1:$G$87,7,FALSE)</f>
        <v>#N/A</v>
      </c>
      <c r="O115" s="178">
        <f>IFERROR(VLOOKUP(A115,'[1]LIC List'!$E$2:$R$112,14,FALSE),"n/a")</f>
        <v>5.5865921787709993E-3</v>
      </c>
      <c r="P115" s="179">
        <f>IFERROR(VLOOKUP(A115,[1]NAV!$B$3:$F$310,5,FALSE),"n/a")</f>
        <v>43251</v>
      </c>
      <c r="Q115" s="9"/>
      <c r="R115" s="180">
        <f>_xlfn.IFNA(VLOOKUP($A115,[1]IRESS!$A$11:$AE$696,6,FALSE)/100,"n/a")</f>
        <v>1.74</v>
      </c>
      <c r="S115" s="32">
        <f>_xlfn.IFNA(VLOOKUP($A115,[1]IRESS!$A$11:$AE$696,21,FALSE)/100,"n/a")</f>
        <v>1.8494559979438783</v>
      </c>
      <c r="T115" s="180">
        <f>_xlfn.IFNA(VLOOKUP($A115,[1]IRESS!$A$11:$AE$696,22,FALSE)/100,"n/a")</f>
        <v>1.5751023742903016</v>
      </c>
      <c r="V115" s="35">
        <f>IFERROR((VLOOKUP($A115,[1]IRESS!$A$11:$AE$696,20,FALSE)/100)/R115,"n/a")</f>
        <v>0</v>
      </c>
      <c r="W115" s="181">
        <f>IFERROR(VLOOKUP($A115,[1]Morningstar!$A$2:$F$477,3,FALSE),"n/a")</f>
        <v>-3.3399999999999999E-2</v>
      </c>
      <c r="X115" s="35">
        <f>IFERROR(VLOOKUP($A115,[1]Morningstar!$A$2:$F$477,4,FALSE),"n/a")</f>
        <v>-9.2999999999999992E-3</v>
      </c>
      <c r="Y115" s="181">
        <f>IFERROR(VLOOKUP($A115,[1]Morningstar!$A$2:$F$477,5,FALSE),"n/a")</f>
        <v>2.87E-2</v>
      </c>
      <c r="Z115" s="35">
        <f>IFERROR(VLOOKUP($A115,[1]Morningstar!$A$2:$F$477,6,FALSE),"n/a")</f>
        <v>7.9200000000000007E-2</v>
      </c>
    </row>
    <row r="116" spans="1:26">
      <c r="A116" s="21" t="s">
        <v>609</v>
      </c>
      <c r="B116" s="174" t="s">
        <v>508</v>
      </c>
      <c r="C116" s="46" t="str">
        <f>VLOOKUP(A116,'[1]LIC List'!$A$2:$B$136,2,FALSE)</f>
        <v>Cordish Dixon Private Equity Fund II</v>
      </c>
      <c r="D116" s="24"/>
      <c r="E116" s="9"/>
      <c r="F116" s="176">
        <f>_xlfn.IFNA(VLOOKUP(A116,'[1]LIC List'!$A$2:$I$136,6,FALSE),"n/a")</f>
        <v>0.33</v>
      </c>
      <c r="G116" s="26" t="str">
        <f>_xlfn.IFNA(VLOOKUP(A116,'[1]LIC List'!$A$2:$J$112,10,FALSE),"n/a")</f>
        <v>No</v>
      </c>
      <c r="H116" s="176">
        <f>_xlfn.IFNA(VLOOKUP(A116,'[1]LIC List'!$A$2:$J$145,8,FALSE)/1000000,"n/a")</f>
        <v>113.13958199999999</v>
      </c>
      <c r="I116" s="26">
        <f>_xlfn.IFNA(VLOOKUP(A116,'[1]LIC List'!$A$2:$N$136,14,FALSE)/1000000,"n/a")</f>
        <v>0.5519003999999762</v>
      </c>
      <c r="J116" s="177">
        <f>_xlfn.IFNA(VLOOKUP(A116,[1]IRESS!$A$10:$F$875,5,FALSE),"n/a")</f>
        <v>245447.75</v>
      </c>
      <c r="K116" s="28">
        <f>_xlfn.IFNA(VLOOKUP(A116,[1]IRESS!$A$11:$G$772,7,FALSE),"n/a")</f>
        <v>120754</v>
      </c>
      <c r="L116" s="177">
        <f>_xlfn.IFNA(VLOOKUP(A116,[1]IRESS!$A$10:$F$875,4,FALSE),"n/a")</f>
        <v>19</v>
      </c>
      <c r="M116" s="29">
        <f t="shared" si="1"/>
        <v>1.0673010971527189E-3</v>
      </c>
      <c r="N116" s="104" t="e">
        <f>VLOOKUP(A116,[1]Spreads!$A$1:$G$87,7,FALSE)</f>
        <v>#N/A</v>
      </c>
      <c r="O116" s="178">
        <f>IFERROR(VLOOKUP(A116,'[1]LIC List'!$E$2:$R$112,14,FALSE),"n/a")</f>
        <v>-4.8780487804876982E-3</v>
      </c>
      <c r="P116" s="179">
        <f>IFERROR(VLOOKUP(A116,[1]NAV!$B$3:$F$310,5,FALSE),"n/a")</f>
        <v>43251</v>
      </c>
      <c r="Q116" s="9"/>
      <c r="R116" s="180">
        <f>_xlfn.IFNA(VLOOKUP($A116,[1]IRESS!$A$11:$AE$696,6,FALSE)/100,"n/a")</f>
        <v>2.0499999999999998</v>
      </c>
      <c r="S116" s="32">
        <f>_xlfn.IFNA(VLOOKUP($A116,[1]IRESS!$A$11:$AE$696,21,FALSE)/100,"n/a")</f>
        <v>2.1</v>
      </c>
      <c r="T116" s="180">
        <f>_xlfn.IFNA(VLOOKUP($A116,[1]IRESS!$A$11:$AE$696,22,FALSE)/100,"n/a")</f>
        <v>1.8125460100173951</v>
      </c>
      <c r="V116" s="35">
        <f>IFERROR((VLOOKUP($A116,[1]IRESS!$A$11:$AE$696,20,FALSE)/100)/R116,"n/a")</f>
        <v>0</v>
      </c>
      <c r="W116" s="181">
        <f>IFERROR(VLOOKUP($A116,[1]Morningstar!$A$2:$F$477,3,FALSE),"n/a")</f>
        <v>4.8999999999999998E-3</v>
      </c>
      <c r="X116" s="35">
        <f>IFERROR(VLOOKUP($A116,[1]Morningstar!$A$2:$F$477,4,FALSE),"n/a")</f>
        <v>8.7400000000000005E-2</v>
      </c>
      <c r="Y116" s="181">
        <f>IFERROR(VLOOKUP($A116,[1]Morningstar!$A$2:$F$477,5,FALSE),"n/a")</f>
        <v>5.33E-2</v>
      </c>
      <c r="Z116" s="35">
        <f>IFERROR(VLOOKUP($A116,[1]Morningstar!$A$2:$F$477,6,FALSE),"n/a")</f>
        <v>8.0399999999999999E-2</v>
      </c>
    </row>
    <row r="117" spans="1:26">
      <c r="A117" s="21" t="s">
        <v>610</v>
      </c>
      <c r="B117" s="174" t="s">
        <v>508</v>
      </c>
      <c r="C117" s="46" t="str">
        <f>VLOOKUP(A117,'[1]LIC List'!$A$2:$B$136,2,FALSE)</f>
        <v>Cordish Dixon Private Equity Fund III</v>
      </c>
      <c r="D117" s="24"/>
      <c r="E117" s="9"/>
      <c r="F117" s="176">
        <f>_xlfn.IFNA(VLOOKUP(A117,'[1]LIC List'!$A$2:$I$136,6,FALSE),"n/a")</f>
        <v>0.33</v>
      </c>
      <c r="G117" s="26" t="str">
        <f>_xlfn.IFNA(VLOOKUP(A117,'[1]LIC List'!$A$2:$J$112,10,FALSE),"n/a")</f>
        <v>No</v>
      </c>
      <c r="H117" s="176">
        <f>_xlfn.IFNA(VLOOKUP(A117,'[1]LIC List'!$A$2:$J$145,8,FALSE)/1000000,"n/a")</f>
        <v>107.32234579999999</v>
      </c>
      <c r="I117" s="26">
        <f>_xlfn.IFNA(VLOOKUP(A117,'[1]LIC List'!$A$2:$N$136,14,FALSE)/1000000,"n/a")</f>
        <v>-5.7622736000000092</v>
      </c>
      <c r="J117" s="177">
        <f>_xlfn.IFNA(VLOOKUP(A117,[1]IRESS!$A$10:$F$875,5,FALSE),"n/a")</f>
        <v>341203.97499999998</v>
      </c>
      <c r="K117" s="28">
        <f>_xlfn.IFNA(VLOOKUP(A117,[1]IRESS!$A$11:$G$772,7,FALSE),"n/a")</f>
        <v>215484</v>
      </c>
      <c r="L117" s="177">
        <f>_xlfn.IFNA(VLOOKUP(A117,[1]IRESS!$A$10:$F$875,4,FALSE),"n/a")</f>
        <v>29</v>
      </c>
      <c r="M117" s="29">
        <f t="shared" si="1"/>
        <v>2.0078204440440025E-3</v>
      </c>
      <c r="N117" s="104" t="e">
        <f>VLOOKUP(A117,[1]Spreads!$A$1:$G$87,7,FALSE)</f>
        <v>#N/A</v>
      </c>
      <c r="O117" s="178">
        <f>IFERROR(VLOOKUP(A117,'[1]LIC List'!$E$2:$R$112,14,FALSE),"n/a")</f>
        <v>3.9473684210526327E-2</v>
      </c>
      <c r="P117" s="179">
        <f>IFERROR(VLOOKUP(A117,[1]NAV!$B$3:$F$310,5,FALSE),"n/a")</f>
        <v>43251</v>
      </c>
      <c r="Q117" s="9"/>
      <c r="R117" s="180">
        <f>_xlfn.IFNA(VLOOKUP($A117,[1]IRESS!$A$11:$AE$696,6,FALSE)/100,"n/a")</f>
        <v>1.59</v>
      </c>
      <c r="S117" s="32">
        <f>_xlfn.IFNA(VLOOKUP($A117,[1]IRESS!$A$11:$AE$696,21,FALSE)/100,"n/a")</f>
        <v>1.625</v>
      </c>
      <c r="T117" s="180">
        <f>_xlfn.IFNA(VLOOKUP($A117,[1]IRESS!$A$11:$AE$696,22,FALSE)/100,"n/a")</f>
        <v>1.47</v>
      </c>
      <c r="V117" s="35">
        <f>IFERROR((VLOOKUP($A117,[1]IRESS!$A$11:$AE$696,20,FALSE)/100)/R117,"n/a")</f>
        <v>0</v>
      </c>
      <c r="W117" s="181">
        <f>IFERROR(VLOOKUP($A117,[1]Morningstar!$A$2:$F$477,3,FALSE),"n/a")</f>
        <v>1.26E-2</v>
      </c>
      <c r="X117" s="35">
        <f>IFERROR(VLOOKUP($A117,[1]Morningstar!$A$2:$F$477,4,FALSE),"n/a")</f>
        <v>-6.4000000000000003E-3</v>
      </c>
      <c r="Y117" s="181" t="str">
        <f>IFERROR(VLOOKUP($A117,[1]Morningstar!$A$2:$F$477,5,FALSE),"n/a")</f>
        <v>n/a</v>
      </c>
      <c r="Z117" s="35" t="str">
        <f>IFERROR(VLOOKUP($A117,[1]Morningstar!$A$2:$F$477,6,FALSE),"n/a")</f>
        <v>n/a</v>
      </c>
    </row>
    <row r="118" spans="1:26">
      <c r="A118" s="21" t="s">
        <v>611</v>
      </c>
      <c r="B118" s="174" t="s">
        <v>508</v>
      </c>
      <c r="C118" s="46" t="str">
        <f>VLOOKUP(A118,'[1]LIC List'!$A$2:$B$136,2,FALSE)</f>
        <v>L1 Long Short Fund Limited</v>
      </c>
      <c r="D118" s="24"/>
      <c r="E118" s="9"/>
      <c r="F118" s="176">
        <f>_xlfn.IFNA(VLOOKUP(A118,'[1]LIC List'!$A$2:$I$136,6,FALSE),"n/a")</f>
        <v>1.4350000000000001</v>
      </c>
      <c r="G118" s="26" t="str">
        <f>_xlfn.IFNA(VLOOKUP(A118,'[1]LIC List'!$A$2:$J$112,10,FALSE),"n/a")</f>
        <v>No</v>
      </c>
      <c r="H118" s="176">
        <f>_xlfn.IFNA(VLOOKUP(A118,'[1]LIC List'!$A$2:$J$145,8,FALSE)/1000000,"n/a")</f>
        <v>1249.8975907199999</v>
      </c>
      <c r="I118" s="26">
        <f>_xlfn.IFNA(VLOOKUP(A118,'[1]LIC List'!$A$2:$N$136,14,FALSE)/1000000,"n/a")</f>
        <v>-99.725871599999905</v>
      </c>
      <c r="J118" s="177">
        <f>_xlfn.IFNA(VLOOKUP(A118,[1]IRESS!$A$10:$F$875,5,FALSE),"n/a")</f>
        <v>42965564.469999991</v>
      </c>
      <c r="K118" s="28">
        <f>_xlfn.IFNA(VLOOKUP(A118,[1]IRESS!$A$11:$G$772,7,FALSE),"n/a")</f>
        <v>22423051</v>
      </c>
      <c r="L118" s="177">
        <f>_xlfn.IFNA(VLOOKUP(A118,[1]IRESS!$A$10:$F$875,4,FALSE),"n/a")</f>
        <v>3149</v>
      </c>
      <c r="M118" s="29">
        <f t="shared" si="1"/>
        <v>1.7939910570659846E-2</v>
      </c>
      <c r="N118" s="104" t="e">
        <f>VLOOKUP(A118,[1]Spreads!$A$1:$G$87,7,FALSE)</f>
        <v>#N/A</v>
      </c>
      <c r="O118" s="178">
        <f>IFERROR(VLOOKUP(A118,'[1]LIC List'!$E$2:$R$112,14,FALSE),"n/a")</f>
        <v>6.675116180819618E-2</v>
      </c>
      <c r="P118" s="179">
        <f>IFERROR(VLOOKUP(A118,[1]NAV!$B$3:$F$310,5,FALSE),"n/a")</f>
        <v>43251</v>
      </c>
      <c r="Q118" s="9"/>
      <c r="R118" s="180">
        <f>_xlfn.IFNA(VLOOKUP($A118,[1]IRESS!$A$11:$AE$696,6,FALSE)/100,"n/a")</f>
        <v>1.88</v>
      </c>
      <c r="S118" s="32">
        <f>_xlfn.IFNA(VLOOKUP($A118,[1]IRESS!$A$11:$AE$696,21,FALSE)/100,"n/a")</f>
        <v>2.09</v>
      </c>
      <c r="T118" s="180">
        <f>_xlfn.IFNA(VLOOKUP($A118,[1]IRESS!$A$11:$AE$696,22,FALSE)/100,"n/a")</f>
        <v>1.78</v>
      </c>
      <c r="V118" s="35">
        <f>IFERROR((VLOOKUP($A118,[1]IRESS!$A$11:$AE$696,20,FALSE)/100)/R118,"n/a")</f>
        <v>0</v>
      </c>
      <c r="W118" s="181">
        <f>IFERROR(VLOOKUP($A118,[1]Morningstar!$A$2:$F$477,3,FALSE),"n/a")</f>
        <v>-7.8399999999999997E-2</v>
      </c>
      <c r="X118" s="35" t="str">
        <f>IFERROR(VLOOKUP($A118,[1]Morningstar!$A$2:$F$477,4,FALSE),"n/a")</f>
        <v>n/a</v>
      </c>
      <c r="Y118" s="181" t="str">
        <f>IFERROR(VLOOKUP($A118,[1]Morningstar!$A$2:$F$477,5,FALSE),"n/a")</f>
        <v>n/a</v>
      </c>
      <c r="Z118" s="35" t="str">
        <f>IFERROR(VLOOKUP($A118,[1]Morningstar!$A$2:$F$477,6,FALSE),"n/a")</f>
        <v>n/a</v>
      </c>
    </row>
    <row r="119" spans="1:26">
      <c r="A119" s="21" t="s">
        <v>612</v>
      </c>
      <c r="B119" s="174" t="s">
        <v>508</v>
      </c>
      <c r="C119" s="46" t="str">
        <f>VLOOKUP(A119,'[1]LIC List'!$A$2:$B$136,2,FALSE)</f>
        <v>Morphic Ethical Equities Fund Limited</v>
      </c>
      <c r="D119" s="24"/>
      <c r="E119" s="9"/>
      <c r="F119" s="176">
        <f>_xlfn.IFNA(VLOOKUP(A119,'[1]LIC List'!$A$2:$I$136,6,FALSE),"n/a")</f>
        <v>1.25</v>
      </c>
      <c r="G119" s="26" t="str">
        <f>_xlfn.IFNA(VLOOKUP(A119,'[1]LIC List'!$A$2:$J$112,10,FALSE),"n/a")</f>
        <v>Yes</v>
      </c>
      <c r="H119" s="176">
        <f>_xlfn.IFNA(VLOOKUP(A119,'[1]LIC List'!$A$2:$J$145,8,FALSE)/1000000,"n/a")</f>
        <v>47.07099994499999</v>
      </c>
      <c r="I119" s="26">
        <f>_xlfn.IFNA(VLOOKUP(A119,'[1]LIC List'!$A$2:$N$136,14,FALSE)/1000000,"n/a")</f>
        <v>0.22739613499999045</v>
      </c>
      <c r="J119" s="177">
        <f>_xlfn.IFNA(VLOOKUP(A119,[1]IRESS!$A$10:$F$875,5,FALSE),"n/a")</f>
        <v>1596926.9000000004</v>
      </c>
      <c r="K119" s="28">
        <f>_xlfn.IFNA(VLOOKUP(A119,[1]IRESS!$A$11:$G$772,7,FALSE),"n/a")</f>
        <v>1563250</v>
      </c>
      <c r="L119" s="177">
        <f>_xlfn.IFNA(VLOOKUP(A119,[1]IRESS!$A$10:$F$875,4,FALSE),"n/a")</f>
        <v>236</v>
      </c>
      <c r="M119" s="29">
        <f t="shared" si="1"/>
        <v>3.3210469329875633E-2</v>
      </c>
      <c r="N119" s="104" t="e">
        <f>VLOOKUP(A119,[1]Spreads!$A$1:$G$87,7,FALSE)</f>
        <v>#N/A</v>
      </c>
      <c r="O119" s="178">
        <f>IFERROR(VLOOKUP(A119,'[1]LIC List'!$E$2:$R$112,14,FALSE),"n/a")</f>
        <v>-0.11379398921140516</v>
      </c>
      <c r="P119" s="179">
        <f>IFERROR(VLOOKUP(A119,[1]NAV!$B$3:$F$310,5,FALSE),"n/a")</f>
        <v>43251</v>
      </c>
      <c r="Q119" s="9"/>
      <c r="R119" s="180">
        <f>_xlfn.IFNA(VLOOKUP($A119,[1]IRESS!$A$11:$AE$696,6,FALSE)/100,"n/a")</f>
        <v>1.0349999999999999</v>
      </c>
      <c r="S119" s="32">
        <f>_xlfn.IFNA(VLOOKUP($A119,[1]IRESS!$A$11:$AE$696,21,FALSE)/100,"n/a")</f>
        <v>1.1599999999999999</v>
      </c>
      <c r="T119" s="180">
        <f>_xlfn.IFNA(VLOOKUP($A119,[1]IRESS!$A$11:$AE$696,22,FALSE)/100,"n/a")</f>
        <v>0.97499999999999998</v>
      </c>
      <c r="V119" s="35">
        <f>IFERROR((VLOOKUP($A119,[1]IRESS!$A$11:$AE$696,20,FALSE)/100)/R119,"n/a")</f>
        <v>9.6618357487922718E-3</v>
      </c>
      <c r="W119" s="181">
        <f>IFERROR(VLOOKUP($A119,[1]Morningstar!$A$2:$F$477,3,FALSE),"n/a")</f>
        <v>-2.3599999999999999E-2</v>
      </c>
      <c r="X119" s="35">
        <f>IFERROR(VLOOKUP($A119,[1]Morningstar!$A$2:$F$477,4,FALSE),"n/a")</f>
        <v>-6.7699999999999996E-2</v>
      </c>
      <c r="Y119" s="181" t="str">
        <f>IFERROR(VLOOKUP($A119,[1]Morningstar!$A$2:$F$477,5,FALSE),"n/a")</f>
        <v>n/a</v>
      </c>
      <c r="Z119" s="35" t="str">
        <f>IFERROR(VLOOKUP($A119,[1]Morningstar!$A$2:$F$477,6,FALSE),"n/a")</f>
        <v>n/a</v>
      </c>
    </row>
    <row r="120" spans="1:26">
      <c r="A120" s="21" t="s">
        <v>613</v>
      </c>
      <c r="B120" s="174" t="s">
        <v>508</v>
      </c>
      <c r="C120" s="46" t="str">
        <f>VLOOKUP(A120,'[1]LIC List'!$A$2:$B$136,2,FALSE)</f>
        <v>Thorney Technologies Ltd</v>
      </c>
      <c r="D120" s="24"/>
      <c r="E120" s="9"/>
      <c r="F120" s="176">
        <f>_xlfn.IFNA(VLOOKUP(A120,'[1]LIC List'!$A$2:$I$136,6,FALSE),"n/a")</f>
        <v>0.75</v>
      </c>
      <c r="G120" s="26" t="str">
        <f>_xlfn.IFNA(VLOOKUP(A120,'[1]LIC List'!$A$2:$J$112,10,FALSE),"n/a")</f>
        <v>Yes</v>
      </c>
      <c r="H120" s="176">
        <f>_xlfn.IFNA(VLOOKUP(A120,'[1]LIC List'!$A$2:$J$145,8,FALSE)/1000000,"n/a")</f>
        <v>63.055313615000003</v>
      </c>
      <c r="I120" s="26">
        <f>_xlfn.IFNA(VLOOKUP(A120,'[1]LIC List'!$A$2:$N$136,14,FALSE)/1000000,"n/a")</f>
        <v>-7.7210588100000095</v>
      </c>
      <c r="J120" s="177">
        <f>_xlfn.IFNA(VLOOKUP(A120,[1]IRESS!$A$10:$F$875,5,FALSE),"n/a")</f>
        <v>1158798.3799999999</v>
      </c>
      <c r="K120" s="28">
        <f>_xlfn.IFNA(VLOOKUP(A120,[1]IRESS!$A$11:$G$772,7,FALSE),"n/a")</f>
        <v>4495076</v>
      </c>
      <c r="L120" s="177">
        <f>_xlfn.IFNA(VLOOKUP(A120,[1]IRESS!$A$10:$F$875,4,FALSE),"n/a")</f>
        <v>243</v>
      </c>
      <c r="M120" s="29">
        <f t="shared" si="1"/>
        <v>7.1287822425970496E-2</v>
      </c>
      <c r="N120" s="104" t="e">
        <f>VLOOKUP(A120,[1]Spreads!$A$1:$G$87,7,FALSE)</f>
        <v>#N/A</v>
      </c>
      <c r="O120" s="178">
        <f>IFERROR(VLOOKUP(A120,'[1]LIC List'!$E$2:$R$112,14,FALSE),"n/a")</f>
        <v>0.11336032388663986</v>
      </c>
      <c r="P120" s="179">
        <f>IFERROR(VLOOKUP(A120,[1]NAV!$B$3:$F$310,5,FALSE),"n/a")</f>
        <v>43251</v>
      </c>
      <c r="Q120" s="9"/>
      <c r="R120" s="180">
        <f>_xlfn.IFNA(VLOOKUP($A120,[1]IRESS!$A$11:$AE$696,6,FALSE)/100,"n/a")</f>
        <v>0.245</v>
      </c>
      <c r="S120" s="32">
        <f>_xlfn.IFNA(VLOOKUP($A120,[1]IRESS!$A$11:$AE$696,21,FALSE)/100,"n/a")</f>
        <v>0.39</v>
      </c>
      <c r="T120" s="180">
        <f>_xlfn.IFNA(VLOOKUP($A120,[1]IRESS!$A$11:$AE$696,22,FALSE)/100,"n/a")</f>
        <v>0.22</v>
      </c>
      <c r="V120" s="35">
        <f>IFERROR((VLOOKUP($A120,[1]IRESS!$A$11:$AE$696,20,FALSE)/100)/R120,"n/a")</f>
        <v>0</v>
      </c>
      <c r="W120" s="181">
        <f>IFERROR(VLOOKUP($A120,[1]Morningstar!$A$2:$F$477,3,FALSE),"n/a")</f>
        <v>0</v>
      </c>
      <c r="X120" s="35">
        <f>IFERROR(VLOOKUP($A120,[1]Morningstar!$A$2:$F$477,4,FALSE),"n/a")</f>
        <v>0</v>
      </c>
      <c r="Y120" s="181">
        <f>IFERROR(VLOOKUP($A120,[1]Morningstar!$A$2:$F$477,5,FALSE),"n/a")</f>
        <v>-0.74170000000000003</v>
      </c>
      <c r="Z120" s="35">
        <f>IFERROR(VLOOKUP($A120,[1]Morningstar!$A$2:$F$477,6,FALSE),"n/a")</f>
        <v>-0.62939999999999996</v>
      </c>
    </row>
    <row r="121" spans="1:26">
      <c r="A121" s="21" t="s">
        <v>614</v>
      </c>
      <c r="B121" s="174" t="s">
        <v>508</v>
      </c>
      <c r="C121" s="46" t="str">
        <f>VLOOKUP(A121,'[1]LIC List'!$A$2:$B$136,2,FALSE)</f>
        <v>WCM Global Growth Limited</v>
      </c>
      <c r="D121" s="24"/>
      <c r="E121" s="9"/>
      <c r="F121" s="176">
        <f>_xlfn.IFNA(VLOOKUP(A121,'[1]LIC List'!$A$2:$I$136,6,FALSE),"n/a")</f>
        <v>1.25</v>
      </c>
      <c r="G121" s="26" t="str">
        <f>_xlfn.IFNA(VLOOKUP(A121,'[1]LIC List'!$A$2:$J$112,10,FALSE),"n/a")</f>
        <v>Yes</v>
      </c>
      <c r="H121" s="176">
        <f>_xlfn.IFNA(VLOOKUP(A121,'[1]LIC List'!$A$2:$J$145,8,FALSE)/1000000,"n/a")</f>
        <v>97.808743849999999</v>
      </c>
      <c r="I121" s="26">
        <f>_xlfn.IFNA(VLOOKUP(A121,'[1]LIC List'!$A$2:$N$136,14,FALSE)/1000000,"n/a")</f>
        <v>97.808743849999999</v>
      </c>
      <c r="J121" s="177">
        <f>_xlfn.IFNA(VLOOKUP(A121,[1]IRESS!$A$10:$F$875,5,FALSE),"n/a")</f>
        <v>3020663.3399999994</v>
      </c>
      <c r="K121" s="28">
        <f>_xlfn.IFNA(VLOOKUP(A121,[1]IRESS!$A$11:$G$772,7,FALSE),"n/a")</f>
        <v>2893855</v>
      </c>
      <c r="L121" s="177">
        <f>_xlfn.IFNA(VLOOKUP(A121,[1]IRESS!$A$10:$F$875,4,FALSE),"n/a")</f>
        <v>262</v>
      </c>
      <c r="M121" s="29">
        <f t="shared" si="1"/>
        <v>2.9586874200511471E-2</v>
      </c>
      <c r="N121" s="104" t="e">
        <f>VLOOKUP(A121,[1]Spreads!$A$1:$G$87,7,FALSE)</f>
        <v>#N/A</v>
      </c>
      <c r="O121" s="178" t="str">
        <f>IFERROR(VLOOKUP(A121,'[1]LIC List'!$E$2:$R$112,14,FALSE),"n/a")</f>
        <v>n/a</v>
      </c>
      <c r="P121" s="179" t="str">
        <f>IFERROR(VLOOKUP(A121,[1]NAV!$B$3:$F$310,5,FALSE),"n/a")</f>
        <v>n/a</v>
      </c>
      <c r="Q121" s="9"/>
      <c r="R121" s="180">
        <f>_xlfn.IFNA(VLOOKUP($A121,[1]IRESS!$A$11:$AE$696,6,FALSE)/100,"n/a")</f>
        <v>1.075</v>
      </c>
      <c r="S121" s="32">
        <f>_xlfn.IFNA(VLOOKUP($A121,[1]IRESS!$A$11:$AE$696,21,FALSE)/100,"n/a")</f>
        <v>1.19</v>
      </c>
      <c r="T121" s="180">
        <f>_xlfn.IFNA(VLOOKUP($A121,[1]IRESS!$A$11:$AE$696,22,FALSE)/100,"n/a")</f>
        <v>0.95499999999999996</v>
      </c>
      <c r="V121" s="35">
        <f>IFERROR((VLOOKUP($A121,[1]IRESS!$A$11:$AE$696,20,FALSE)/100)/R121,"n/a")</f>
        <v>0</v>
      </c>
      <c r="W121" s="181">
        <f>IFERROR(VLOOKUP($A121,[1]Morningstar!$A$2:$F$477,3,FALSE),"n/a")</f>
        <v>3.3599999999999998E-2</v>
      </c>
      <c r="X121" s="35">
        <f>IFERROR(VLOOKUP($A121,[1]Morningstar!$A$2:$F$477,4,FALSE),"n/a")</f>
        <v>-2.2700000000000001E-2</v>
      </c>
      <c r="Y121" s="181" t="str">
        <f>IFERROR(VLOOKUP($A121,[1]Morningstar!$A$2:$F$477,5,FALSE),"n/a")</f>
        <v>n/a</v>
      </c>
      <c r="Z121" s="35" t="str">
        <f>IFERROR(VLOOKUP($A121,[1]Morningstar!$A$2:$F$477,6,FALSE),"n/a")</f>
        <v>n/a</v>
      </c>
    </row>
    <row r="122" spans="1:26" s="167" customFormat="1">
      <c r="A122" s="173" t="s">
        <v>155</v>
      </c>
      <c r="B122" s="182"/>
      <c r="C122" s="182"/>
      <c r="D122" s="182"/>
      <c r="E122" s="9"/>
      <c r="F122" s="183"/>
      <c r="G122" s="183"/>
      <c r="H122" s="183"/>
      <c r="I122" s="183"/>
      <c r="J122" s="184"/>
      <c r="K122" s="184"/>
      <c r="L122" s="184"/>
      <c r="M122" s="185"/>
      <c r="N122" s="186"/>
      <c r="O122" s="187"/>
      <c r="P122" s="188"/>
      <c r="Q122" s="9"/>
      <c r="R122" s="189"/>
      <c r="S122" s="189"/>
      <c r="T122" s="189"/>
      <c r="U122" s="7"/>
      <c r="V122" s="190"/>
      <c r="W122" s="191"/>
      <c r="X122" s="191"/>
      <c r="Y122" s="191"/>
      <c r="Z122" s="182"/>
    </row>
    <row r="123" spans="1:26">
      <c r="A123" s="21" t="s">
        <v>615</v>
      </c>
      <c r="B123" s="174" t="s">
        <v>508</v>
      </c>
      <c r="C123" s="46" t="str">
        <f>VLOOKUP(A123,'[1]LIC List'!$A$2:$B$136,2,FALSE)</f>
        <v>Argo Global Listed Infrastructure Limited</v>
      </c>
      <c r="D123" s="24"/>
      <c r="E123" s="9"/>
      <c r="F123" s="176">
        <f>_xlfn.IFNA(VLOOKUP(A123,'[1]LIC List'!$A$2:$I$136,6,FALSE),"n/a")</f>
        <v>1.2</v>
      </c>
      <c r="G123" s="26" t="str">
        <f>_xlfn.IFNA(VLOOKUP(A123,'[1]LIC List'!$A$2:$J$112,10,FALSE),"n/a")</f>
        <v>No</v>
      </c>
      <c r="H123" s="176">
        <f>_xlfn.IFNA(VLOOKUP(A123,'[1]LIC List'!$A$2:$J$145,8,FALSE)/1000000,"n/a")</f>
        <v>255.91811939999999</v>
      </c>
      <c r="I123" s="26">
        <f>_xlfn.IFNA(VLOOKUP(A123,'[1]LIC List'!$A$2:$N$136,14,FALSE)/1000000,"n/a")</f>
        <v>1.7756695500000119</v>
      </c>
      <c r="J123" s="177">
        <f>_xlfn.IFNA(VLOOKUP(A123,[1]IRESS!$A$10:$F$875,5,FALSE),"n/a")</f>
        <v>5669249.5175000001</v>
      </c>
      <c r="K123" s="28">
        <f>_xlfn.IFNA(VLOOKUP(A123,[1]IRESS!$A$11:$G$772,7,FALSE),"n/a")</f>
        <v>3208675</v>
      </c>
      <c r="L123" s="177">
        <f>_xlfn.IFNA(VLOOKUP(A123,[1]IRESS!$A$10:$F$875,4,FALSE),"n/a")</f>
        <v>689</v>
      </c>
      <c r="M123" s="29">
        <f t="shared" si="1"/>
        <v>1.2537896916102456E-2</v>
      </c>
      <c r="N123" s="104" t="e">
        <f>VLOOKUP(A123,[1]Spreads!$A$1:$G$87,7,FALSE)</f>
        <v>#N/A</v>
      </c>
      <c r="O123" s="178">
        <f>IFERROR(VLOOKUP(A123,'[1]LIC List'!$E$2:$R$112,14,FALSE),"n/a")</f>
        <v>-0.16113744075829384</v>
      </c>
      <c r="P123" s="179">
        <f>IFERROR(VLOOKUP(A123,[1]NAV!$B$3:$F$310,5,FALSE),"n/a")</f>
        <v>43251</v>
      </c>
      <c r="Q123" s="9"/>
      <c r="R123" s="180">
        <f>_xlfn.IFNA(VLOOKUP($A123,[1]IRESS!$A$11:$AE$696,6,FALSE)/100,"n/a")</f>
        <v>1.8</v>
      </c>
      <c r="S123" s="32">
        <f>_xlfn.IFNA(VLOOKUP($A123,[1]IRESS!$A$11:$AE$696,21,FALSE)/100,"n/a")</f>
        <v>1.96</v>
      </c>
      <c r="T123" s="180">
        <f>_xlfn.IFNA(VLOOKUP($A123,[1]IRESS!$A$11:$AE$696,22,FALSE)/100,"n/a")</f>
        <v>1.63</v>
      </c>
      <c r="V123" s="35">
        <f>IFERROR((VLOOKUP($A123,[1]IRESS!$A$11:$AE$696,20,FALSE)/100)/R123,"n/a")</f>
        <v>2.0833333333333332E-2</v>
      </c>
      <c r="W123" s="181">
        <f>IFERROR(VLOOKUP($A123,[1]Morningstar!$A$2:$F$477,3,FALSE),"n/a")</f>
        <v>1.6899999999999998E-2</v>
      </c>
      <c r="X123" s="35">
        <f>IFERROR(VLOOKUP($A123,[1]Morningstar!$A$2:$F$477,4,FALSE),"n/a")</f>
        <v>-5.7000000000000002E-3</v>
      </c>
      <c r="Y123" s="181" t="str">
        <f>IFERROR(VLOOKUP($A123,[1]Morningstar!$A$2:$F$477,5,FALSE),"n/a")</f>
        <v>n/a</v>
      </c>
      <c r="Z123" s="35" t="str">
        <f>IFERROR(VLOOKUP($A123,[1]Morningstar!$A$2:$F$477,6,FALSE),"n/a")</f>
        <v>n/a</v>
      </c>
    </row>
    <row r="124" spans="1:26" s="167" customFormat="1">
      <c r="A124" s="173" t="s">
        <v>165</v>
      </c>
      <c r="B124" s="182"/>
      <c r="C124" s="182"/>
      <c r="D124" s="182"/>
      <c r="E124" s="9"/>
      <c r="F124" s="183"/>
      <c r="G124" s="183"/>
      <c r="H124" s="183"/>
      <c r="I124" s="183"/>
      <c r="J124" s="184"/>
      <c r="K124" s="184"/>
      <c r="L124" s="184"/>
      <c r="M124" s="185"/>
      <c r="N124" s="186"/>
      <c r="O124" s="187"/>
      <c r="P124" s="188"/>
      <c r="Q124" s="9"/>
      <c r="R124" s="189"/>
      <c r="S124" s="189"/>
      <c r="T124" s="189"/>
      <c r="U124" s="7"/>
      <c r="V124" s="190"/>
      <c r="W124" s="191"/>
      <c r="X124" s="191"/>
      <c r="Y124" s="191"/>
      <c r="Z124" s="182"/>
    </row>
    <row r="125" spans="1:26">
      <c r="A125" s="21" t="s">
        <v>616</v>
      </c>
      <c r="B125" s="174" t="s">
        <v>529</v>
      </c>
      <c r="C125" s="46" t="str">
        <f>VLOOKUP(A125,'[1]LIC List'!$A$2:$B$136,2,FALSE)</f>
        <v>Fat Prophets Global Property Fund</v>
      </c>
      <c r="D125" s="24"/>
      <c r="E125" s="9"/>
      <c r="F125" s="176">
        <f>_xlfn.IFNA(VLOOKUP(A125,'[1]LIC List'!$A$2:$I$136,6,FALSE),"n/a")</f>
        <v>1.0249999999999999</v>
      </c>
      <c r="G125" s="26" t="str">
        <f>_xlfn.IFNA(VLOOKUP(A125,'[1]LIC List'!$A$2:$J$112,10,FALSE),"n/a")</f>
        <v>Yes</v>
      </c>
      <c r="H125" s="176">
        <f>_xlfn.IFNA(VLOOKUP(A125,'[1]LIC List'!$A$2:$J$145,8,FALSE)/1000000,"n/a")</f>
        <v>15.469377120000001</v>
      </c>
      <c r="I125" s="26">
        <f>_xlfn.IFNA(VLOOKUP(A125,'[1]LIC List'!$A$2:$N$136,14,FALSE)/1000000,"n/a")</f>
        <v>-0.83413307999999819</v>
      </c>
      <c r="J125" s="177">
        <f>_xlfn.IFNA(VLOOKUP(A125,[1]IRESS!$A$10:$F$875,5,FALSE),"n/a")</f>
        <v>105109.97</v>
      </c>
      <c r="K125" s="28">
        <f>_xlfn.IFNA(VLOOKUP(A125,[1]IRESS!$A$11:$G$772,7,FALSE),"n/a")</f>
        <v>100536</v>
      </c>
      <c r="L125" s="177">
        <f>_xlfn.IFNA(VLOOKUP(A125,[1]IRESS!$A$10:$F$875,4,FALSE),"n/a")</f>
        <v>59</v>
      </c>
      <c r="M125" s="29">
        <f t="shared" si="1"/>
        <v>6.499033491789357E-3</v>
      </c>
      <c r="N125" s="104" t="e">
        <f>VLOOKUP(A125,[1]Spreads!$A$1:$G$87,7,FALSE)</f>
        <v>#N/A</v>
      </c>
      <c r="O125" s="178">
        <f>IFERROR(VLOOKUP(A125,'[1]LIC List'!$E$2:$R$112,14,FALSE),"n/a")</f>
        <v>-1.2003693444136654E-2</v>
      </c>
      <c r="P125" s="179">
        <f>IFERROR(VLOOKUP(A125,[1]NAV!$B$3:$F$310,5,FALSE),"n/a")</f>
        <v>43251</v>
      </c>
      <c r="Q125" s="9"/>
      <c r="R125" s="180">
        <f>_xlfn.IFNA(VLOOKUP($A125,[1]IRESS!$A$11:$AE$696,6,FALSE)/100,"n/a")</f>
        <v>1.02</v>
      </c>
      <c r="S125" s="32">
        <f>_xlfn.IFNA(VLOOKUP($A125,[1]IRESS!$A$11:$AE$696,21,FALSE)/100,"n/a")</f>
        <v>1.2</v>
      </c>
      <c r="T125" s="180">
        <f>_xlfn.IFNA(VLOOKUP($A125,[1]IRESS!$A$11:$AE$696,22,FALSE)/100,"n/a")</f>
        <v>0.99</v>
      </c>
      <c r="V125" s="35">
        <f>IFERROR((VLOOKUP($A125,[1]IRESS!$A$11:$AE$696,20,FALSE)/100)/R125,"n/a")</f>
        <v>2.3225490196078433E-2</v>
      </c>
      <c r="W125" s="181">
        <f>IFERROR(VLOOKUP($A125,[1]Morningstar!$A$2:$F$477,3,FALSE),"n/a")</f>
        <v>-2.9100000000000001E-2</v>
      </c>
      <c r="X125" s="35" t="str">
        <f>IFERROR(VLOOKUP($A125,[1]Morningstar!$A$2:$F$477,4,FALSE),"n/a")</f>
        <v>n/a</v>
      </c>
      <c r="Y125" s="181" t="str">
        <f>IFERROR(VLOOKUP($A125,[1]Morningstar!$A$2:$F$477,5,FALSE),"n/a")</f>
        <v>n/a</v>
      </c>
      <c r="Z125" s="35" t="str">
        <f>IFERROR(VLOOKUP($A125,[1]Morningstar!$A$2:$F$477,6,FALSE),"n/a")</f>
        <v>n/a</v>
      </c>
    </row>
    <row r="126" spans="1:26" s="167" customFormat="1">
      <c r="A126" s="173" t="s">
        <v>432</v>
      </c>
      <c r="B126" s="182"/>
      <c r="C126" s="182"/>
      <c r="D126" s="182"/>
      <c r="E126" s="9"/>
      <c r="F126" s="183"/>
      <c r="G126" s="183"/>
      <c r="H126" s="183"/>
      <c r="I126" s="183"/>
      <c r="J126" s="184"/>
      <c r="K126" s="184"/>
      <c r="L126" s="184"/>
      <c r="M126" s="185"/>
      <c r="N126" s="186"/>
      <c r="O126" s="187"/>
      <c r="P126" s="188"/>
      <c r="Q126" s="9"/>
      <c r="R126" s="189"/>
      <c r="S126" s="189"/>
      <c r="T126" s="189"/>
      <c r="U126" s="7"/>
      <c r="V126" s="190"/>
      <c r="W126" s="191"/>
      <c r="X126" s="191"/>
      <c r="Y126" s="191"/>
      <c r="Z126" s="182"/>
    </row>
    <row r="127" spans="1:26">
      <c r="A127" s="21" t="s">
        <v>617</v>
      </c>
      <c r="B127" s="174" t="s">
        <v>508</v>
      </c>
      <c r="C127" s="46" t="str">
        <f>VLOOKUP(A127,'[1]LIC List'!$A$2:$B$136,2,FALSE)</f>
        <v>Australian Masters Yield Fund No 5 Limited</v>
      </c>
      <c r="D127" s="24"/>
      <c r="E127" s="9"/>
      <c r="F127" s="176">
        <f>_xlfn.IFNA(VLOOKUP(A127,'[1]LIC List'!$A$2:$I$136,6,FALSE),"n/a")</f>
        <v>0.65</v>
      </c>
      <c r="G127" s="26" t="str">
        <f>_xlfn.IFNA(VLOOKUP(A127,'[1]LIC List'!$A$2:$J$112,10,FALSE),"n/a")</f>
        <v>No</v>
      </c>
      <c r="H127" s="176">
        <f>_xlfn.IFNA(VLOOKUP(A127,'[1]LIC List'!$A$2:$J$145,8,FALSE)/1000000,"n/a")</f>
        <v>57.629337</v>
      </c>
      <c r="I127" s="26">
        <f>_xlfn.IFNA(VLOOKUP(A127,'[1]LIC List'!$A$2:$N$136,14,FALSE)/1000000,"n/a")</f>
        <v>6.4099999400000049</v>
      </c>
      <c r="J127" s="177">
        <f>_xlfn.IFNA(VLOOKUP(A127,[1]IRESS!$A$10:$F$875,5,FALSE),"n/a")</f>
        <v>286706.14</v>
      </c>
      <c r="K127" s="28">
        <f>_xlfn.IFNA(VLOOKUP(A127,[1]IRESS!$A$11:$G$772,7,FALSE),"n/a")</f>
        <v>5144</v>
      </c>
      <c r="L127" s="177">
        <f>_xlfn.IFNA(VLOOKUP(A127,[1]IRESS!$A$10:$F$875,4,FALSE),"n/a")</f>
        <v>21</v>
      </c>
      <c r="M127" s="29">
        <f t="shared" si="1"/>
        <v>8.9260093344471417E-5</v>
      </c>
      <c r="N127" s="104" t="e">
        <f>VLOOKUP(A127,[1]Spreads!$A$1:$G$87,7,FALSE)</f>
        <v>#N/A</v>
      </c>
      <c r="O127" s="178">
        <f>IFERROR(VLOOKUP(A127,'[1]LIC List'!$E$2:$R$112,14,FALSE),"n/a")</f>
        <v>-9.4834745058960279E-2</v>
      </c>
      <c r="P127" s="179">
        <f>IFERROR(VLOOKUP(A127,[1]NAV!$B$3:$F$310,5,FALSE),"n/a")</f>
        <v>43251</v>
      </c>
      <c r="Q127" s="9"/>
      <c r="R127" s="180">
        <f>_xlfn.IFNA(VLOOKUP($A127,[1]IRESS!$A$11:$AE$696,6,FALSE)/100,"n/a")</f>
        <v>57</v>
      </c>
      <c r="S127" s="32">
        <f>_xlfn.IFNA(VLOOKUP($A127,[1]IRESS!$A$11:$AE$696,21,FALSE)/100,"n/a")</f>
        <v>60.6</v>
      </c>
      <c r="T127" s="180">
        <f>_xlfn.IFNA(VLOOKUP($A127,[1]IRESS!$A$11:$AE$696,22,FALSE)/100,"n/a")</f>
        <v>53.99</v>
      </c>
      <c r="V127" s="35">
        <f>IFERROR((VLOOKUP($A127,[1]IRESS!$A$11:$AE$696,20,FALSE)/100)/R127,"n/a")</f>
        <v>3.4912280701754388E-2</v>
      </c>
      <c r="W127" s="181">
        <f>IFERROR(VLOOKUP($A127,[1]Morningstar!$A$2:$F$477,3,FALSE),"n/a")</f>
        <v>3.6299999999999999E-2</v>
      </c>
      <c r="X127" s="35">
        <f>IFERROR(VLOOKUP($A127,[1]Morningstar!$A$2:$F$477,4,FALSE),"n/a")</f>
        <v>-2.35E-2</v>
      </c>
      <c r="Y127" s="181" t="str">
        <f>IFERROR(VLOOKUP($A127,[1]Morningstar!$A$2:$F$477,5,FALSE),"n/a")</f>
        <v>n/a</v>
      </c>
      <c r="Z127" s="35" t="str">
        <f>IFERROR(VLOOKUP($A127,[1]Morningstar!$A$2:$F$477,6,FALSE),"n/a")</f>
        <v>n/a</v>
      </c>
    </row>
    <row r="128" spans="1:26" s="45" customFormat="1">
      <c r="A128" s="21" t="s">
        <v>618</v>
      </c>
      <c r="B128" s="174" t="s">
        <v>508</v>
      </c>
      <c r="C128" s="46" t="str">
        <f>VLOOKUP(A128,'[1]LIC List'!$A$2:$B$136,2,FALSE)</f>
        <v>Australian Masters Yield Fund No 4 Limited</v>
      </c>
      <c r="D128" s="24"/>
      <c r="E128" s="9"/>
      <c r="F128" s="176" t="str">
        <f>_xlfn.IFNA(VLOOKUP(A128,'[1]LIC List'!$A$2:$I$136,6,FALSE),"n/a")</f>
        <v>n/a</v>
      </c>
      <c r="G128" s="26" t="str">
        <f>_xlfn.IFNA(VLOOKUP(A128,'[1]LIC List'!$A$2:$J$112,10,FALSE),"n/a")</f>
        <v>Yes</v>
      </c>
      <c r="H128" s="176">
        <f>_xlfn.IFNA(VLOOKUP(A128,'[1]LIC List'!$A$2:$J$145,8,FALSE)/1000000,"n/a")</f>
        <v>20.814226399999999</v>
      </c>
      <c r="I128" s="26">
        <f>_xlfn.IFNA(VLOOKUP(A128,'[1]LIC List'!$A$2:$N$136,14,FALSE)/1000000,"n/a")</f>
        <v>1.8922023999999986</v>
      </c>
      <c r="J128" s="177">
        <f>_xlfn.IFNA(VLOOKUP(A128,[1]IRESS!$A$10:$F$875,5,FALSE),"n/a")</f>
        <v>117630.85000000002</v>
      </c>
      <c r="K128" s="28">
        <f>_xlfn.IFNA(VLOOKUP(A128,[1]IRESS!$A$11:$G$772,7,FALSE),"n/a")</f>
        <v>5885</v>
      </c>
      <c r="L128" s="177">
        <f>_xlfn.IFNA(VLOOKUP(A128,[1]IRESS!$A$10:$F$875,4,FALSE),"n/a")</f>
        <v>22</v>
      </c>
      <c r="M128" s="29">
        <f t="shared" si="1"/>
        <v>2.8273930949458686E-4</v>
      </c>
      <c r="N128" s="104" t="e">
        <f>VLOOKUP(A128,[1]Spreads!$A$1:$G$87,7,FALSE)</f>
        <v>#N/A</v>
      </c>
      <c r="O128" s="178">
        <f>IFERROR(VLOOKUP(A128,'[1]LIC List'!$E$2:$R$112,14,FALSE),"n/a")</f>
        <v>-0.13269731136166518</v>
      </c>
      <c r="P128" s="179">
        <f>IFERROR(VLOOKUP(A128,[1]NAV!$B$3:$F$310,5,FALSE),"n/a")</f>
        <v>43251</v>
      </c>
      <c r="Q128" s="9"/>
      <c r="R128" s="180">
        <f>_xlfn.IFNA(VLOOKUP($A128,[1]IRESS!$A$11:$AE$696,6,FALSE)/100,"n/a")</f>
        <v>20.9</v>
      </c>
      <c r="S128" s="32">
        <f>_xlfn.IFNA(VLOOKUP($A128,[1]IRESS!$A$11:$AE$696,21,FALSE)/100,"n/a")</f>
        <v>23.216518821036097</v>
      </c>
      <c r="T128" s="180">
        <f>_xlfn.IFNA(VLOOKUP($A128,[1]IRESS!$A$11:$AE$696,22,FALSE)/100,"n/a")</f>
        <v>19</v>
      </c>
      <c r="U128" s="7"/>
      <c r="V128" s="35">
        <f>IFERROR((VLOOKUP($A128,[1]IRESS!$A$11:$AE$696,20,FALSE)/100)/R128,"n/a")</f>
        <v>5.5502392344497609E-2</v>
      </c>
      <c r="W128" s="181">
        <f>IFERROR(VLOOKUP($A128,[1]Morningstar!$A$2:$F$477,3,FALSE),"n/a")</f>
        <v>4.5199999999999997E-2</v>
      </c>
      <c r="X128" s="35">
        <f>IFERROR(VLOOKUP($A128,[1]Morningstar!$A$2:$F$477,4,FALSE),"n/a")</f>
        <v>-0.47910000000000003</v>
      </c>
      <c r="Y128" s="181">
        <f>IFERROR(VLOOKUP($A128,[1]Morningstar!$A$2:$F$477,5,FALSE),"n/a")</f>
        <v>-0.27829999999999999</v>
      </c>
      <c r="Z128" s="35" t="str">
        <f>IFERROR(VLOOKUP($A128,[1]Morningstar!$A$2:$F$477,6,FALSE),"n/a")</f>
        <v>n/a</v>
      </c>
    </row>
    <row r="129" spans="1:26" s="45" customFormat="1">
      <c r="A129" s="21" t="s">
        <v>619</v>
      </c>
      <c r="B129" s="174" t="s">
        <v>529</v>
      </c>
      <c r="C129" s="46" t="str">
        <f>VLOOKUP(A129,'[1]LIC List'!$A$2:$B$136,2,FALSE)</f>
        <v>Gryphon Capital Income Trust</v>
      </c>
      <c r="D129" s="24"/>
      <c r="E129" s="47"/>
      <c r="F129" s="176">
        <f>_xlfn.IFNA(VLOOKUP(A129,'[1]LIC List'!$A$2:$I$136,6,FALSE),"n/a")</f>
        <v>0.96</v>
      </c>
      <c r="G129" s="26" t="str">
        <f>_xlfn.IFNA(VLOOKUP(A129,'[1]LIC List'!$A$2:$J$112,10,FALSE),"n/a")</f>
        <v>No</v>
      </c>
      <c r="H129" s="176">
        <f>_xlfn.IFNA(VLOOKUP(A129,'[1]LIC List'!$A$2:$J$145,8,FALSE)/1000000,"n/a")</f>
        <v>175.3</v>
      </c>
      <c r="I129" s="26">
        <f>_xlfn.IFNA(VLOOKUP(A129,'[1]LIC List'!$A$2:$N$136,14,FALSE)/1000000,"n/a")</f>
        <v>-0.87649999999997019</v>
      </c>
      <c r="J129" s="177">
        <f>_xlfn.IFNA(VLOOKUP(A129,[1]IRESS!$A$10:$F$875,5,FALSE),"n/a")</f>
        <v>4478202.38</v>
      </c>
      <c r="K129" s="28">
        <f>_xlfn.IFNA(VLOOKUP(A129,[1]IRESS!$A$11:$G$772,7,FALSE),"n/a")</f>
        <v>2233828</v>
      </c>
      <c r="L129" s="177">
        <f>_xlfn.IFNA(VLOOKUP(A129,[1]IRESS!$A$10:$F$875,4,FALSE),"n/a")</f>
        <v>258</v>
      </c>
      <c r="M129" s="29">
        <f>IFERROR(+K129/(H129*1000000),"n/a")</f>
        <v>1.2742886480319453E-2</v>
      </c>
      <c r="N129" s="104" t="e">
        <f>VLOOKUP(A129,[1]Spreads!$A$1:$G$87,7,FALSE)</f>
        <v>#N/A</v>
      </c>
      <c r="O129" s="178">
        <f>IFERROR(VLOOKUP(A129,'[1]LIC List'!$E$2:$R$112,14,FALSE),"n/a")</f>
        <v>-1.9996000799837876E-4</v>
      </c>
      <c r="P129" s="179">
        <f>IFERROR(VLOOKUP(A129,[1]NAV!$B$3:$F$310,5,FALSE),"n/a")</f>
        <v>43251</v>
      </c>
      <c r="Q129" s="47"/>
      <c r="R129" s="180">
        <f>_xlfn.IFNA(VLOOKUP($A129,[1]IRESS!$A$11:$AE$696,6,FALSE)/100,"n/a")</f>
        <v>2</v>
      </c>
      <c r="S129" s="32">
        <f>_xlfn.IFNA(VLOOKUP($A129,[1]IRESS!$A$11:$AE$696,21,FALSE)/100,"n/a")</f>
        <v>2.02</v>
      </c>
      <c r="T129" s="180">
        <f>_xlfn.IFNA(VLOOKUP($A129,[1]IRESS!$A$11:$AE$696,22,FALSE)/100,"n/a")</f>
        <v>1.98</v>
      </c>
      <c r="U129" s="7"/>
      <c r="V129" s="35">
        <f>IFERROR((VLOOKUP($A129,[1]IRESS!$A$11:$AE$696,20,FALSE)/100)/R129,"n/a")</f>
        <v>2.3E-3</v>
      </c>
      <c r="W129" s="181">
        <f>IFERROR(VLOOKUP($A129,[1]Morningstar!$A$2:$F$477,3,FALSE),"n/a")</f>
        <v>-2.7000000000000001E-3</v>
      </c>
      <c r="X129" s="35" t="str">
        <f>IFERROR(VLOOKUP($A129,[1]Morningstar!$A$2:$F$477,4,FALSE),"n/a")</f>
        <v>n/a</v>
      </c>
      <c r="Y129" s="181" t="str">
        <f>IFERROR(VLOOKUP($A129,[1]Morningstar!$A$2:$F$477,5,FALSE),"n/a")</f>
        <v>n/a</v>
      </c>
      <c r="Z129" s="35" t="str">
        <f>IFERROR(VLOOKUP($A129,[1]Morningstar!$A$2:$F$477,6,FALSE),"n/a")</f>
        <v>n/a</v>
      </c>
    </row>
    <row r="130" spans="1:26">
      <c r="A130" s="21" t="s">
        <v>620</v>
      </c>
      <c r="B130" s="174" t="s">
        <v>508</v>
      </c>
      <c r="C130" s="46" t="str">
        <f>VLOOKUP(A130,'[1]LIC List'!$A$2:$B$136,2,FALSE)</f>
        <v>MCP Master Income Trust</v>
      </c>
      <c r="D130" s="24"/>
      <c r="E130" s="9"/>
      <c r="F130" s="176">
        <f>_xlfn.IFNA(VLOOKUP(A130,'[1]LIC List'!$A$2:$I$136,6,FALSE),"n/a")</f>
        <v>0.86</v>
      </c>
      <c r="G130" s="26" t="str">
        <f>_xlfn.IFNA(VLOOKUP(A130,'[1]LIC List'!$A$2:$J$112,10,FALSE),"n/a")</f>
        <v>No</v>
      </c>
      <c r="H130" s="176">
        <f>_xlfn.IFNA(VLOOKUP(A130,'[1]LIC List'!$A$2:$J$145,8,FALSE)/1000000,"n/a")</f>
        <v>752.38452080999991</v>
      </c>
      <c r="I130" s="26">
        <f>_xlfn.IFNA(VLOOKUP(A130,'[1]LIC List'!$A$2:$N$136,14,FALSE)/1000000,"n/a")</f>
        <v>7.3597140600000621</v>
      </c>
      <c r="J130" s="177">
        <f>_xlfn.IFNA(VLOOKUP(A130,[1]IRESS!$A$10:$F$875,5,FALSE),"n/a")</f>
        <v>20653306.215000004</v>
      </c>
      <c r="K130" s="28">
        <f>_xlfn.IFNA(VLOOKUP(A130,[1]IRESS!$A$11:$G$772,7,FALSE),"n/a")</f>
        <v>10028287</v>
      </c>
      <c r="L130" s="177">
        <f>_xlfn.IFNA(VLOOKUP(A130,[1]IRESS!$A$10:$F$875,4,FALSE),"n/a")</f>
        <v>1989</v>
      </c>
      <c r="M130" s="29">
        <f t="shared" si="1"/>
        <v>1.3328672670197649E-2</v>
      </c>
      <c r="N130" s="104" t="e">
        <f>VLOOKUP(A130,[1]Spreads!$A$1:$G$87,7,FALSE)</f>
        <v>#N/A</v>
      </c>
      <c r="O130" s="178">
        <f>IFERROR(VLOOKUP(A130,'[1]LIC List'!$E$2:$R$112,14,FALSE),"n/a")</f>
        <v>3.0000000000000027E-2</v>
      </c>
      <c r="P130" s="179">
        <f>IFERROR(VLOOKUP(A130,[1]NAV!$B$3:$F$310,5,FALSE),"n/a")</f>
        <v>43251</v>
      </c>
      <c r="Q130" s="9"/>
      <c r="R130" s="180">
        <f>_xlfn.IFNA(VLOOKUP($A130,[1]IRESS!$A$11:$AE$696,6,FALSE)/100,"n/a")</f>
        <v>2.0699999999999998</v>
      </c>
      <c r="S130" s="32">
        <f>_xlfn.IFNA(VLOOKUP($A130,[1]IRESS!$A$11:$AE$696,21,FALSE)/100,"n/a")</f>
        <v>2.1373149454593658</v>
      </c>
      <c r="T130" s="180">
        <f>_xlfn.IFNA(VLOOKUP($A130,[1]IRESS!$A$11:$AE$696,22,FALSE)/100,"n/a")</f>
        <v>1.9881999492645264</v>
      </c>
      <c r="V130" s="35">
        <f>IFERROR((VLOOKUP($A130,[1]IRESS!$A$11:$AE$696,20,FALSE)/100)/R130,"n/a")</f>
        <v>3.4012674028977105E-2</v>
      </c>
      <c r="W130" s="181">
        <f>IFERROR(VLOOKUP($A130,[1]Morningstar!$A$2:$F$477,3,FALSE),"n/a")</f>
        <v>1.38E-2</v>
      </c>
      <c r="X130" s="35" t="str">
        <f>IFERROR(VLOOKUP($A130,[1]Morningstar!$A$2:$F$477,4,FALSE),"n/a")</f>
        <v>n/a</v>
      </c>
      <c r="Y130" s="181" t="str">
        <f>IFERROR(VLOOKUP($A130,[1]Morningstar!$A$2:$F$477,5,FALSE),"n/a")</f>
        <v>n/a</v>
      </c>
      <c r="Z130" s="35" t="str">
        <f>IFERROR(VLOOKUP($A130,[1]Morningstar!$A$2:$F$477,6,FALSE),"n/a")</f>
        <v>n/a</v>
      </c>
    </row>
    <row r="131" spans="1:26" s="167" customFormat="1">
      <c r="A131" s="173" t="s">
        <v>225</v>
      </c>
      <c r="B131" s="173"/>
      <c r="C131" s="173"/>
      <c r="D131" s="173"/>
      <c r="E131" s="9"/>
      <c r="F131" s="173"/>
      <c r="G131" s="173"/>
      <c r="H131" s="173"/>
      <c r="I131" s="173"/>
      <c r="J131" s="173"/>
      <c r="K131" s="173"/>
      <c r="L131" s="173"/>
      <c r="M131" s="173"/>
      <c r="N131" s="173"/>
      <c r="O131" s="173"/>
      <c r="P131" s="173"/>
      <c r="Q131" s="9"/>
      <c r="R131" s="173"/>
      <c r="S131" s="173"/>
      <c r="T131" s="173"/>
      <c r="U131" s="7"/>
      <c r="V131" s="173"/>
      <c r="W131" s="173"/>
      <c r="X131" s="173"/>
      <c r="Y131" s="173"/>
      <c r="Z131" s="173"/>
    </row>
    <row r="132" spans="1:26">
      <c r="A132" s="21" t="s">
        <v>226</v>
      </c>
      <c r="B132" s="174" t="s">
        <v>227</v>
      </c>
      <c r="C132" s="46" t="str">
        <f>VLOOKUP((A132&amp;".ASX"),[1]IRESS!$J$11:$R$681,8,FALSE)</f>
        <v>S&amp;P/ASX 200 Accumulation</v>
      </c>
      <c r="D132" s="24"/>
      <c r="E132" s="9"/>
      <c r="F132" s="176" t="str">
        <f>_xlfn.IFNA(VLOOKUP(A132,'[1]LIC List'!$A$2:$I$136,6,FALSE),"n/a")</f>
        <v>n/a</v>
      </c>
      <c r="G132" s="26" t="str">
        <f>_xlfn.IFNA(VLOOKUP(A132,'[1]LIC List'!$A$2:$J$112,10,FALSE),"n/a")</f>
        <v>n/a</v>
      </c>
      <c r="H132" s="176" t="str">
        <f ca="1">_xlfn.IFNA(VLOOKUP(A132,'[1]LIC List'!$A$2:$J$145,8,FALSE)/1000000,"n/a")</f>
        <v>n/a</v>
      </c>
      <c r="I132" s="26" t="str">
        <f>_xlfn.IFNA(VLOOKUP(A132,'[1]LIC List'!$A$2:$N$136,14,FALSE)/1000000,"n/a")</f>
        <v>n/a</v>
      </c>
      <c r="J132" s="177">
        <f>_xlfn.IFNA(VLOOKUP(A132,[1]IRESS!$A$10:$F$875,5,FALSE),"n/a")</f>
        <v>0</v>
      </c>
      <c r="K132" s="28">
        <f>_xlfn.IFNA(VLOOKUP(A132,[1]IRESS!$A$11:$G$772,7,FALSE),"n/a")</f>
        <v>0</v>
      </c>
      <c r="L132" s="177">
        <f>_xlfn.IFNA(VLOOKUP(A132,[1]IRESS!$A$10:$F$875,4,FALSE),"n/a")</f>
        <v>0</v>
      </c>
      <c r="M132" s="29" t="str">
        <f t="shared" ca="1" si="1"/>
        <v>n/a</v>
      </c>
      <c r="N132" s="104" t="e">
        <f>VLOOKUP(A132,[1]Spreads!$A$1:$G$87,7,FALSE)</f>
        <v>#N/A</v>
      </c>
      <c r="O132" s="178" t="str">
        <f>IFERROR(VLOOKUP(A132,'[1]LIC List'!$E$2:$R$112,14,FALSE),"n/a")</f>
        <v>n/a</v>
      </c>
      <c r="P132" s="179" t="str">
        <f>IFERROR(VLOOKUP(A132,[1]NAV!$B$3:$F$310,5,FALSE),"n/a")</f>
        <v>n/a</v>
      </c>
      <c r="Q132" s="9"/>
      <c r="R132" s="180">
        <f>VLOOKUP(($A132&amp;".ASX"),[1]IRESS!$AF$11:$AG$681,2,FALSE)</f>
        <v>63015.407839308253</v>
      </c>
      <c r="S132" s="32">
        <f>VLOOKUP($A132,[1]IRESS!$A$11:$AE$696,21,FALSE)</f>
        <v>63270.451990326314</v>
      </c>
      <c r="T132" s="180">
        <f>VLOOKUP($A132,[1]IRESS!$A$11:$AE$696,22,FALSE)</f>
        <v>55296.57681594212</v>
      </c>
      <c r="V132" s="35"/>
      <c r="W132" s="181">
        <f>IFERROR(($R132-VLOOKUP($A132,[1]IRESS!$A$11:$AE$696,25,FALSE))/(VLOOKUP($A132,[1]IRESS!$A$11:$AE$696,25,FALSE)),"n/a")</f>
        <v>3.7461315862249253E-2</v>
      </c>
      <c r="X132" s="35">
        <f>IFERROR(($R132-VLOOKUP($A132,[1]IRESS!$A$11:$AE$696,27,FALSE))/(VLOOKUP($A132,[1]IRESS!$A$11:$AE$696,27,FALSE)),"n/a")</f>
        <v>0.13014760443980347</v>
      </c>
      <c r="Y132" s="181">
        <f>IFERROR((($R132/VLOOKUP($A132,[1]IRESS!$A$11:$AE$696,29,FALSE))^(1/3)-1),"n/a")</f>
        <v>9.0427391805817159E-2</v>
      </c>
      <c r="Z132" s="35">
        <f>IFERROR((($R132/VLOOKUP($A132,[1]IRESS!$A$11:$AE$696,31,FALSE))^(1/5)-1),"n/a")</f>
        <v>9.9799624905136719E-2</v>
      </c>
    </row>
    <row r="133" spans="1:26">
      <c r="A133" s="21" t="s">
        <v>228</v>
      </c>
      <c r="B133" s="174" t="s">
        <v>227</v>
      </c>
      <c r="C133" s="46" t="str">
        <f>VLOOKUP((A133&amp;".ASX"),[1]IRESS!$J$11:$R$681,8,FALSE)</f>
        <v>S&amp;P/ASX Small Ords Accumulation</v>
      </c>
      <c r="D133" s="24"/>
      <c r="E133" s="9"/>
      <c r="F133" s="176" t="str">
        <f>_xlfn.IFNA(VLOOKUP(A133,'[1]LIC List'!$A$2:$I$136,6,FALSE),"n/a")</f>
        <v>n/a</v>
      </c>
      <c r="G133" s="26" t="str">
        <f>_xlfn.IFNA(VLOOKUP(A133,'[1]LIC List'!$A$2:$J$112,10,FALSE),"n/a")</f>
        <v>n/a</v>
      </c>
      <c r="H133" s="176" t="str">
        <f ca="1">_xlfn.IFNA(VLOOKUP(A133,'[1]LIC List'!$A$2:$J$145,8,FALSE)/1000000,"n/a")</f>
        <v>n/a</v>
      </c>
      <c r="I133" s="26" t="str">
        <f>_xlfn.IFNA(VLOOKUP(A133,'[1]LIC List'!$A$2:$N$136,14,FALSE)/1000000,"n/a")</f>
        <v>n/a</v>
      </c>
      <c r="J133" s="177">
        <f>_xlfn.IFNA(VLOOKUP(A133,[1]IRESS!$A$10:$F$875,5,FALSE),"n/a")</f>
        <v>0</v>
      </c>
      <c r="K133" s="28">
        <f>_xlfn.IFNA(VLOOKUP(A133,[1]IRESS!$A$11:$G$772,7,FALSE),"n/a")</f>
        <v>0</v>
      </c>
      <c r="L133" s="177">
        <f>_xlfn.IFNA(VLOOKUP(A133,[1]IRESS!$A$10:$F$875,4,FALSE),"n/a")</f>
        <v>0</v>
      </c>
      <c r="M133" s="29" t="str">
        <f t="shared" ca="1" si="1"/>
        <v>n/a</v>
      </c>
      <c r="N133" s="104" t="e">
        <f>VLOOKUP(A133,[1]Spreads!$A$1:$G$87,7,FALSE)</f>
        <v>#N/A</v>
      </c>
      <c r="O133" s="178" t="str">
        <f>IFERROR(VLOOKUP(A133,'[1]LIC List'!$E$2:$R$112,14,FALSE),"n/a")</f>
        <v>n/a</v>
      </c>
      <c r="P133" s="179" t="str">
        <f>IFERROR(VLOOKUP(A133,[1]NAV!$B$3:$F$310,5,FALSE),"n/a")</f>
        <v>n/a</v>
      </c>
      <c r="Q133" s="9"/>
      <c r="R133" s="180">
        <f>VLOOKUP(($A133&amp;".ASX"),[1]IRESS!$AF$11:$AG$681,2,FALSE)</f>
        <v>8140.5090054170332</v>
      </c>
      <c r="S133" s="32">
        <f>VLOOKUP($A133,[1]IRESS!$A$11:$AE$696,21,FALSE)/100</f>
        <v>82.857830213919186</v>
      </c>
      <c r="T133" s="180">
        <f>VLOOKUP($A133,[1]IRESS!$A$11:$AE$696,22,FALSE)/100</f>
        <v>64.883292450688103</v>
      </c>
      <c r="V133" s="35"/>
      <c r="W133" s="181">
        <f>IFERROR(($R133-VLOOKUP($A133,[1]IRESS!$A$11:$AE$696,25,FALSE))/(VLOOKUP($A133,[1]IRESS!$A$11:$AE$696,25,FALSE)),"n/a")</f>
        <v>2.089624394647829E-2</v>
      </c>
      <c r="X133" s="35">
        <f>IFERROR(($R133-VLOOKUP($A133,[1]IRESS!$A$11:$AE$696,27,FALSE))/(VLOOKUP($A133,[1]IRESS!$A$11:$AE$696,27,FALSE)),"n/a")</f>
        <v>0.24246215053522574</v>
      </c>
      <c r="Y133" s="181">
        <f>IFERROR((($R133/VLOOKUP($A133,[1]IRESS!$A$11:$AE$696,29,FALSE))^(1/3)-1),"n/a")</f>
        <v>0.15005367378215362</v>
      </c>
      <c r="Z133" s="35">
        <f>IFERROR((($R133/VLOOKUP($A133,[1]IRESS!$A$11:$AE$696,31,FALSE))^(1/5)-1),"n/a")</f>
        <v>0.11562181573593877</v>
      </c>
    </row>
    <row r="134" spans="1:26">
      <c r="A134" s="21" t="s">
        <v>229</v>
      </c>
      <c r="B134" s="174" t="s">
        <v>227</v>
      </c>
      <c r="C134" s="46" t="str">
        <f>VLOOKUP((A134&amp;".ASX"),[1]IRESS!$J$11:$R$681,8,FALSE)</f>
        <v>S&amp;P/ASX 200 A-REIT Accumulation</v>
      </c>
      <c r="D134" s="24"/>
      <c r="E134" s="9"/>
      <c r="F134" s="176" t="str">
        <f>_xlfn.IFNA(VLOOKUP(A134,'[1]LIC List'!$A$2:$I$136,6,FALSE),"n/a")</f>
        <v>n/a</v>
      </c>
      <c r="G134" s="26" t="str">
        <f>_xlfn.IFNA(VLOOKUP(A134,'[1]LIC List'!$A$2:$J$112,10,FALSE),"n/a")</f>
        <v>n/a</v>
      </c>
      <c r="H134" s="176" t="str">
        <f ca="1">_xlfn.IFNA(VLOOKUP(A134,'[1]LIC List'!$A$2:$J$145,8,FALSE)/1000000,"n/a")</f>
        <v>n/a</v>
      </c>
      <c r="I134" s="26" t="str">
        <f>_xlfn.IFNA(VLOOKUP(A134,'[1]LIC List'!$A$2:$N$136,14,FALSE)/1000000,"n/a")</f>
        <v>n/a</v>
      </c>
      <c r="J134" s="177">
        <f>_xlfn.IFNA(VLOOKUP(A134,[1]IRESS!$A$10:$F$875,5,FALSE),"n/a")</f>
        <v>0</v>
      </c>
      <c r="K134" s="28">
        <f>_xlfn.IFNA(VLOOKUP(A134,[1]IRESS!$A$11:$G$772,7,FALSE),"n/a")</f>
        <v>0</v>
      </c>
      <c r="L134" s="177">
        <f>_xlfn.IFNA(VLOOKUP(A134,[1]IRESS!$A$10:$F$875,4,FALSE),"n/a")</f>
        <v>0</v>
      </c>
      <c r="M134" s="29" t="str">
        <f t="shared" ca="1" si="1"/>
        <v>n/a</v>
      </c>
      <c r="N134" s="104" t="e">
        <f>VLOOKUP(A134,[1]Spreads!$A$1:$G$87,7,FALSE)</f>
        <v>#N/A</v>
      </c>
      <c r="O134" s="178" t="str">
        <f>IFERROR(VLOOKUP(A134,'[1]LIC List'!$E$2:$R$112,14,FALSE),"n/a")</f>
        <v>n/a</v>
      </c>
      <c r="P134" s="179" t="str">
        <f>IFERROR(VLOOKUP(A134,[1]NAV!$B$3:$F$310,5,FALSE),"n/a")</f>
        <v>n/a</v>
      </c>
      <c r="Q134" s="9"/>
      <c r="R134" s="180">
        <f>VLOOKUP(($A134&amp;".ASX"),[1]IRESS!$AF$11:$AG$681,2,FALSE)</f>
        <v>48604.905129330422</v>
      </c>
      <c r="S134" s="32">
        <f>VLOOKUP($A134,[1]IRESS!$A$11:$AE$696,21,FALSE)/100</f>
        <v>490.78929650724524</v>
      </c>
      <c r="T134" s="180">
        <f>VLOOKUP($A134,[1]IRESS!$A$11:$AE$696,22,FALSE)/100</f>
        <v>414.6468147361839</v>
      </c>
      <c r="V134" s="35"/>
      <c r="W134" s="181">
        <f>IFERROR(($R134-VLOOKUP($A134,[1]IRESS!$A$11:$AE$696,25,FALSE))/(VLOOKUP($A134,[1]IRESS!$A$11:$AE$696,25,FALSE)),"n/a")</f>
        <v>2.3338225544838796E-2</v>
      </c>
      <c r="X134" s="35">
        <f>IFERROR(($R134-VLOOKUP($A134,[1]IRESS!$A$11:$AE$696,27,FALSE))/(VLOOKUP($A134,[1]IRESS!$A$11:$AE$696,27,FALSE)),"n/a")</f>
        <v>0.13038443354059726</v>
      </c>
      <c r="Y134" s="181">
        <f>IFERROR((($R134/VLOOKUP($A134,[1]IRESS!$A$11:$AE$696,29,FALSE))^(1/3)-1),"n/a")</f>
        <v>9.6953604547080019E-2</v>
      </c>
      <c r="Z134" s="35">
        <f>IFERROR((($R134/VLOOKUP($A134,[1]IRESS!$A$11:$AE$696,31,FALSE))^(1/5)-1),"n/a")</f>
        <v>0.12009433339785569</v>
      </c>
    </row>
    <row r="135" spans="1:26">
      <c r="A135" s="21" t="s">
        <v>230</v>
      </c>
      <c r="B135" s="174" t="s">
        <v>227</v>
      </c>
      <c r="C135" s="46" t="str">
        <f>VLOOKUP((A135&amp;".ASX"),[1]IRESS!$J$11:$R$681,8,FALSE)</f>
        <v>S&amp;P/ASX Infrastructure Index Accumulation</v>
      </c>
      <c r="D135" s="24"/>
      <c r="E135" s="9"/>
      <c r="F135" s="176" t="str">
        <f>_xlfn.IFNA(VLOOKUP(A135,'[1]LIC List'!$A$2:$I$136,6,FALSE),"n/a")</f>
        <v>n/a</v>
      </c>
      <c r="G135" s="26" t="str">
        <f>_xlfn.IFNA(VLOOKUP(A135,'[1]LIC List'!$A$2:$J$112,10,FALSE),"n/a")</f>
        <v>n/a</v>
      </c>
      <c r="H135" s="176" t="str">
        <f ca="1">_xlfn.IFNA(VLOOKUP(A135,'[1]LIC List'!$A$2:$J$145,8,FALSE)/1000000,"n/a")</f>
        <v>n/a</v>
      </c>
      <c r="I135" s="26" t="str">
        <f>_xlfn.IFNA(VLOOKUP(A135,'[1]LIC List'!$A$2:$N$136,14,FALSE)/1000000,"n/a")</f>
        <v>n/a</v>
      </c>
      <c r="J135" s="177">
        <f>_xlfn.IFNA(VLOOKUP(A135,[1]IRESS!$A$10:$F$875,5,FALSE),"n/a")</f>
        <v>0</v>
      </c>
      <c r="K135" s="28">
        <f>_xlfn.IFNA(VLOOKUP(A135,[1]IRESS!$A$11:$G$772,7,FALSE),"n/a")</f>
        <v>0</v>
      </c>
      <c r="L135" s="177">
        <f>_xlfn.IFNA(VLOOKUP(A135,[1]IRESS!$A$10:$F$875,4,FALSE),"n/a")</f>
        <v>0</v>
      </c>
      <c r="M135" s="29" t="str">
        <f t="shared" ca="1" si="1"/>
        <v>n/a</v>
      </c>
      <c r="N135" s="104" t="e">
        <f>VLOOKUP(A135,[1]Spreads!$A$1:$G$87,7,FALSE)</f>
        <v>#N/A</v>
      </c>
      <c r="O135" s="178" t="str">
        <f>IFERROR(VLOOKUP(A135,'[1]LIC List'!$E$2:$R$112,14,FALSE),"n/a")</f>
        <v>n/a</v>
      </c>
      <c r="P135" s="179" t="str">
        <f>IFERROR(VLOOKUP(A135,[1]NAV!$B$3:$F$310,5,FALSE),"n/a")</f>
        <v>n/a</v>
      </c>
      <c r="Q135" s="9"/>
      <c r="R135" s="180">
        <f>VLOOKUP(($A135&amp;".ASX"),[1]IRESS!$AF$11:$AG$681,2,FALSE)</f>
        <v>443.84317103253943</v>
      </c>
      <c r="S135" s="32">
        <f>VLOOKUP($A135,[1]IRESS!$A$11:$AE$696,21,FALSE)/100</f>
        <v>4.4791295489044334</v>
      </c>
      <c r="T135" s="180">
        <f>VLOOKUP($A135,[1]IRESS!$A$11:$AE$696,22,FALSE)/100</f>
        <v>3.8786031043183882</v>
      </c>
      <c r="V135" s="35"/>
      <c r="W135" s="181">
        <f>IFERROR(($R135-VLOOKUP($A135,[1]IRESS!$A$11:$AE$696,25,FALSE))/(VLOOKUP($A135,[1]IRESS!$A$11:$AE$696,25,FALSE)),"n/a")</f>
        <v>6.1343358299678984E-2</v>
      </c>
      <c r="X135" s="35">
        <f>IFERROR(($R135-VLOOKUP($A135,[1]IRESS!$A$11:$AE$696,27,FALSE))/(VLOOKUP($A135,[1]IRESS!$A$11:$AE$696,27,FALSE)),"n/a")</f>
        <v>8.7252714164183509E-2</v>
      </c>
      <c r="Y135" s="181">
        <f>IFERROR((($R135/VLOOKUP($A135,[1]IRESS!$A$11:$AE$696,29,FALSE))^(1/3)-1),"n/a")</f>
        <v>0.11668931747853328</v>
      </c>
      <c r="Z135" s="35">
        <f>IFERROR((($R135/VLOOKUP($A135,[1]IRESS!$A$11:$AE$696,31,FALSE))^(1/5)-1),"n/a")</f>
        <v>0.13738343638890416</v>
      </c>
    </row>
    <row r="136" spans="1:26">
      <c r="A136" s="21" t="s">
        <v>231</v>
      </c>
      <c r="B136" s="174" t="s">
        <v>227</v>
      </c>
      <c r="C136" s="46" t="str">
        <f>VLOOKUP((A136&amp;".ASX"),[1]IRESS!$J$11:$R$681,8,FALSE)</f>
        <v>S&amp;P/ASX Aust Fixed Int Idx Total Return</v>
      </c>
      <c r="D136" s="24"/>
      <c r="E136" s="9"/>
      <c r="F136" s="176" t="str">
        <f>_xlfn.IFNA(VLOOKUP(A136,'[1]LIC List'!$A$2:$I$136,6,FALSE),"n/a")</f>
        <v>n/a</v>
      </c>
      <c r="G136" s="26" t="str">
        <f>_xlfn.IFNA(VLOOKUP(A136,'[1]LIC List'!$A$2:$J$112,10,FALSE),"n/a")</f>
        <v>n/a</v>
      </c>
      <c r="H136" s="176" t="str">
        <f ca="1">_xlfn.IFNA(VLOOKUP(A136,'[1]LIC List'!$A$2:$J$145,8,FALSE)/1000000,"n/a")</f>
        <v>n/a</v>
      </c>
      <c r="I136" s="26" t="str">
        <f>_xlfn.IFNA(VLOOKUP(A136,'[1]LIC List'!$A$2:$N$136,14,FALSE)/1000000,"n/a")</f>
        <v>n/a</v>
      </c>
      <c r="J136" s="177">
        <f>_xlfn.IFNA(VLOOKUP(A136,[1]IRESS!$A$10:$F$875,5,FALSE),"n/a")</f>
        <v>0</v>
      </c>
      <c r="K136" s="28">
        <f>_xlfn.IFNA(VLOOKUP(A136,[1]IRESS!$A$11:$G$772,7,FALSE),"n/a")</f>
        <v>0</v>
      </c>
      <c r="L136" s="177">
        <f>_xlfn.IFNA(VLOOKUP(A136,[1]IRESS!$A$10:$F$875,4,FALSE),"n/a")</f>
        <v>0</v>
      </c>
      <c r="M136" s="29" t="str">
        <f t="shared" ca="1" si="1"/>
        <v>n/a</v>
      </c>
      <c r="N136" s="104" t="e">
        <f>VLOOKUP(A136,[1]Spreads!$A$1:$G$87,7,FALSE)</f>
        <v>#N/A</v>
      </c>
      <c r="O136" s="178" t="str">
        <f>IFERROR(VLOOKUP(A136,'[1]LIC List'!$E$2:$R$112,14,FALSE),"n/a")</f>
        <v>n/a</v>
      </c>
      <c r="P136" s="179" t="str">
        <f>IFERROR(VLOOKUP(A136,[1]NAV!$B$3:$F$310,5,FALSE),"n/a")</f>
        <v>n/a</v>
      </c>
      <c r="Q136" s="9"/>
      <c r="R136" s="180">
        <f>VLOOKUP(($A136&amp;".ASX"),[1]IRESS!$AF$11:$AG$681,2,FALSE)</f>
        <v>145.96627000000001</v>
      </c>
      <c r="S136" s="32">
        <f>VLOOKUP($A136,[1]IRESS!$A$11:$AE$696,21,FALSE)/100</f>
        <v>0</v>
      </c>
      <c r="T136" s="180">
        <f>VLOOKUP($A136,[1]IRESS!$A$11:$AE$696,22,FALSE)/100</f>
        <v>0</v>
      </c>
      <c r="V136" s="35"/>
      <c r="W136" s="181">
        <f>IFERROR(($R136-VLOOKUP($A136,[1]IRESS!$A$11:$AE$696,25,FALSE))/(VLOOKUP($A136,[1]IRESS!$A$11:$AE$696,25,FALSE)),"n/a")</f>
        <v>4.114933339221926E-3</v>
      </c>
      <c r="X136" s="35">
        <f>IFERROR(($R136-VLOOKUP($A136,[1]IRESS!$A$11:$AE$696,27,FALSE))/(VLOOKUP($A136,[1]IRESS!$A$11:$AE$696,27,FALSE)),"n/a")</f>
        <v>3.1123896548440579E-2</v>
      </c>
      <c r="Y136" s="181">
        <f>IFERROR((($R136/VLOOKUP($A136,[1]IRESS!$A$11:$AE$696,29,FALSE))^(1/3)-1),"n/a")</f>
        <v>3.4877316646126921E-2</v>
      </c>
      <c r="Z136" s="35">
        <f>IFERROR((($R136/VLOOKUP($A136,[1]IRESS!$A$11:$AE$696,31,FALSE))^(1/5)-1),"n/a")</f>
        <v>4.561934533266454E-2</v>
      </c>
    </row>
    <row r="137" spans="1:26">
      <c r="A137" s="21" t="s">
        <v>232</v>
      </c>
      <c r="B137" s="174" t="s">
        <v>227</v>
      </c>
      <c r="C137" s="46" t="str">
        <f>VLOOKUP((A137&amp;".ASX"),[1]IRESS!$J$11:$R$681,8,FALSE)</f>
        <v>S&amp;P/ASX Govt Bond Idx Total Return</v>
      </c>
      <c r="D137" s="24"/>
      <c r="E137" s="9"/>
      <c r="F137" s="176" t="str">
        <f>_xlfn.IFNA(VLOOKUP(A137,'[1]LIC List'!$A$2:$I$136,6,FALSE),"n/a")</f>
        <v>n/a</v>
      </c>
      <c r="G137" s="26" t="str">
        <f>_xlfn.IFNA(VLOOKUP(A137,'[1]LIC List'!$A$2:$J$112,10,FALSE),"n/a")</f>
        <v>n/a</v>
      </c>
      <c r="H137" s="176" t="str">
        <f ca="1">_xlfn.IFNA(VLOOKUP(A137,'[1]LIC List'!$A$2:$J$145,8,FALSE)/1000000,"n/a")</f>
        <v>n/a</v>
      </c>
      <c r="I137" s="26" t="str">
        <f>_xlfn.IFNA(VLOOKUP(A137,'[1]LIC List'!$A$2:$N$136,14,FALSE)/1000000,"n/a")</f>
        <v>n/a</v>
      </c>
      <c r="J137" s="177">
        <f>_xlfn.IFNA(VLOOKUP(A137,[1]IRESS!$A$10:$F$875,5,FALSE),"n/a")</f>
        <v>0</v>
      </c>
      <c r="K137" s="28">
        <f>_xlfn.IFNA(VLOOKUP(A137,[1]IRESS!$A$11:$G$772,7,FALSE),"n/a")</f>
        <v>0</v>
      </c>
      <c r="L137" s="177">
        <f>_xlfn.IFNA(VLOOKUP(A137,[1]IRESS!$A$10:$F$875,4,FALSE),"n/a")</f>
        <v>0</v>
      </c>
      <c r="M137" s="29" t="str">
        <f t="shared" ca="1" si="1"/>
        <v>n/a</v>
      </c>
      <c r="N137" s="104" t="e">
        <f>VLOOKUP(A137,[1]Spreads!$A$1:$G$87,7,FALSE)</f>
        <v>#N/A</v>
      </c>
      <c r="O137" s="178" t="str">
        <f>IFERROR(VLOOKUP(A137,'[1]LIC List'!$E$2:$R$112,14,FALSE),"n/a")</f>
        <v>n/a</v>
      </c>
      <c r="P137" s="179" t="str">
        <f>IFERROR(VLOOKUP(A137,[1]NAV!$B$3:$F$310,5,FALSE),"n/a")</f>
        <v>n/a</v>
      </c>
      <c r="Q137" s="9"/>
      <c r="R137" s="180">
        <f>VLOOKUP(($A137&amp;".ASX"),[1]IRESS!$AF$11:$AG$681,2,FALSE)</f>
        <v>145.29893000000001</v>
      </c>
      <c r="S137" s="32">
        <f>VLOOKUP($A137,[1]IRESS!$A$11:$AE$696,21,FALSE)/100</f>
        <v>0</v>
      </c>
      <c r="T137" s="180">
        <f>VLOOKUP($A137,[1]IRESS!$A$11:$AE$696,22,FALSE)/100</f>
        <v>0</v>
      </c>
      <c r="V137" s="35"/>
      <c r="W137" s="181">
        <f>IFERROR(($R137-VLOOKUP($A137,[1]IRESS!$A$11:$AE$696,25,FALSE))/(VLOOKUP($A137,[1]IRESS!$A$11:$AE$696,25,FALSE)),"n/a")</f>
        <v>4.4473217766890479E-3</v>
      </c>
      <c r="X137" s="35">
        <f>IFERROR(($R137-VLOOKUP($A137,[1]IRESS!$A$11:$AE$696,27,FALSE))/(VLOOKUP($A137,[1]IRESS!$A$11:$AE$696,27,FALSE)),"n/a")</f>
        <v>3.0246793785261752E-2</v>
      </c>
      <c r="Y137" s="181">
        <f>IFERROR((($R137/VLOOKUP($A137,[1]IRESS!$A$11:$AE$696,29,FALSE))^(1/3)-1),"n/a")</f>
        <v>3.415756002952075E-2</v>
      </c>
      <c r="Z137" s="35">
        <f>IFERROR((($R137/VLOOKUP($A137,[1]IRESS!$A$11:$AE$696,31,FALSE))^(1/5)-1),"n/a")</f>
        <v>4.4846946944204102E-2</v>
      </c>
    </row>
    <row r="138" spans="1:26">
      <c r="A138" s="193"/>
      <c r="B138" s="194"/>
      <c r="C138" s="66"/>
      <c r="D138" s="66"/>
      <c r="E138" s="9"/>
      <c r="F138" s="63"/>
      <c r="G138" s="63"/>
      <c r="H138" s="63"/>
      <c r="I138" s="63"/>
      <c r="Q138" s="9"/>
    </row>
    <row r="139" spans="1:26" ht="14.45" customHeight="1">
      <c r="A139" s="195" t="s">
        <v>621</v>
      </c>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row>
    <row r="140" spans="1:26">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row>
    <row r="141" spans="1:26">
      <c r="A141" s="76" t="str">
        <f>"All values are as at "&amp;TEXT([1]Setup!$K$4,"mmm-yy")&amp;". Month Total return, 1/3&amp;5 year annualised return data and NTA provided by Morningstar. MERs are sourced from Issuers publications."</f>
        <v>All values are as at Jun-18. Month Total return, 1/3&amp;5 year annualised return data and NTA provided by Morningstar. MERs are sourced from Issuers publications.</v>
      </c>
      <c r="C141" s="91"/>
      <c r="D141" s="94"/>
      <c r="E141" s="196"/>
    </row>
    <row r="142" spans="1:26" ht="18.75">
      <c r="A142" s="197" t="s">
        <v>239</v>
      </c>
    </row>
    <row r="183" spans="1:18">
      <c r="A183" s="63"/>
      <c r="B183" s="63"/>
      <c r="C183" s="63"/>
      <c r="D183" s="199"/>
      <c r="E183" s="200"/>
      <c r="F183" s="63"/>
      <c r="G183" s="63"/>
      <c r="H183" s="63"/>
      <c r="I183" s="63"/>
      <c r="J183" s="63"/>
      <c r="K183" s="63"/>
      <c r="L183" s="63"/>
      <c r="M183" s="63"/>
      <c r="N183" s="63"/>
      <c r="O183" s="63"/>
      <c r="P183" s="63"/>
      <c r="Q183" s="63"/>
      <c r="R183" s="7"/>
    </row>
    <row r="184" spans="1:18">
      <c r="A184" s="63"/>
      <c r="B184" s="63"/>
      <c r="C184" s="63"/>
      <c r="D184" s="199"/>
      <c r="E184" s="200"/>
      <c r="F184" s="63"/>
      <c r="G184" s="63"/>
      <c r="H184" s="63"/>
      <c r="I184" s="63"/>
      <c r="J184" s="63"/>
      <c r="K184" s="63"/>
      <c r="L184" s="63"/>
      <c r="M184" s="63"/>
      <c r="N184" s="63"/>
      <c r="O184" s="63"/>
      <c r="P184" s="63"/>
      <c r="Q184" s="63"/>
      <c r="R184" s="7"/>
    </row>
    <row r="185" spans="1:18">
      <c r="A185" s="63"/>
      <c r="B185" s="63"/>
      <c r="C185" s="63"/>
      <c r="D185" s="199"/>
      <c r="E185" s="200"/>
      <c r="F185" s="63"/>
      <c r="G185" s="63"/>
      <c r="H185" s="63"/>
      <c r="I185" s="63"/>
      <c r="J185" s="63"/>
      <c r="K185" s="63"/>
      <c r="L185" s="63"/>
      <c r="M185" s="63"/>
      <c r="N185" s="63"/>
      <c r="O185" s="63"/>
      <c r="P185" s="63"/>
      <c r="Q185" s="63"/>
      <c r="R185" s="7"/>
    </row>
    <row r="186" spans="1:18">
      <c r="A186" s="63"/>
      <c r="B186" s="66"/>
      <c r="C186" s="66"/>
      <c r="D186" s="89"/>
      <c r="E186" s="201"/>
      <c r="F186" s="63"/>
      <c r="G186" s="63"/>
      <c r="H186" s="63"/>
      <c r="I186" s="63"/>
      <c r="J186" s="63"/>
      <c r="K186" s="63"/>
      <c r="L186" s="63"/>
      <c r="M186" s="63"/>
      <c r="N186" s="63"/>
      <c r="O186" s="63"/>
      <c r="P186" s="63"/>
      <c r="Q186" s="63"/>
      <c r="R186" s="7"/>
    </row>
    <row r="187" spans="1:18">
      <c r="A187" s="91"/>
      <c r="B187" s="91"/>
      <c r="C187" s="91"/>
      <c r="D187" s="94"/>
      <c r="E187" s="196"/>
      <c r="R187" s="7"/>
    </row>
    <row r="188" spans="1:18">
      <c r="A188" s="91"/>
      <c r="B188" s="91"/>
      <c r="C188" s="91"/>
      <c r="D188" s="94"/>
      <c r="E188" s="196"/>
      <c r="R188" s="7"/>
    </row>
    <row r="189" spans="1:18">
      <c r="A189" s="91"/>
      <c r="B189" s="91"/>
      <c r="C189" s="91"/>
      <c r="D189" s="94"/>
      <c r="E189" s="196"/>
      <c r="R189" s="7"/>
    </row>
    <row r="190" spans="1:18">
      <c r="A190" s="91"/>
      <c r="B190" s="91"/>
      <c r="C190" s="91"/>
      <c r="D190" s="94"/>
      <c r="E190" s="196"/>
      <c r="R190" s="7"/>
    </row>
    <row r="191" spans="1:18">
      <c r="A191" s="91"/>
      <c r="B191" s="94"/>
      <c r="C191" s="91"/>
      <c r="D191" s="94"/>
      <c r="E191" s="196"/>
      <c r="R191" s="7"/>
    </row>
    <row r="192" spans="1:18">
      <c r="A192" s="94"/>
      <c r="B192" s="94"/>
      <c r="C192" s="91"/>
      <c r="D192" s="94"/>
      <c r="E192" s="196"/>
      <c r="R192" s="7"/>
    </row>
    <row r="193" spans="1:18">
      <c r="A193" s="94"/>
      <c r="B193" s="91"/>
      <c r="C193" s="202"/>
      <c r="D193" s="203"/>
      <c r="E193" s="204"/>
      <c r="R193" s="7"/>
    </row>
    <row r="194" spans="1:18">
      <c r="A194" s="91"/>
      <c r="B194" s="91"/>
      <c r="C194" s="91"/>
      <c r="D194" s="94"/>
      <c r="E194" s="196"/>
      <c r="R194" s="7"/>
    </row>
    <row r="195" spans="1:18">
      <c r="A195" s="91"/>
      <c r="B195" s="91"/>
      <c r="C195" s="91"/>
      <c r="D195" s="94"/>
      <c r="E195" s="196"/>
      <c r="R195" s="7"/>
    </row>
    <row r="196" spans="1:18">
      <c r="A196" s="91"/>
      <c r="B196" s="91"/>
      <c r="C196" s="91"/>
      <c r="D196" s="94"/>
      <c r="E196" s="196"/>
      <c r="R196" s="7"/>
    </row>
    <row r="197" spans="1:18">
      <c r="A197" s="91"/>
      <c r="B197" s="91"/>
      <c r="C197" s="91"/>
      <c r="D197" s="94"/>
      <c r="E197" s="196"/>
      <c r="R197" s="7"/>
    </row>
    <row r="198" spans="1:18">
      <c r="A198" s="91"/>
      <c r="B198" s="91"/>
      <c r="C198" s="91"/>
      <c r="D198" s="94"/>
      <c r="E198" s="196"/>
      <c r="R198" s="7"/>
    </row>
    <row r="199" spans="1:18">
      <c r="A199" s="91"/>
      <c r="B199" s="94"/>
      <c r="C199" s="91"/>
      <c r="D199" s="94"/>
      <c r="E199" s="196"/>
      <c r="R199" s="7"/>
    </row>
    <row r="200" spans="1:18">
      <c r="A200" s="94"/>
      <c r="B200" s="94"/>
      <c r="C200" s="91"/>
      <c r="D200" s="94"/>
      <c r="E200" s="196"/>
      <c r="R200" s="7"/>
    </row>
    <row r="201" spans="1:18">
      <c r="A201" s="94"/>
      <c r="B201" s="91"/>
      <c r="C201" s="91"/>
      <c r="D201" s="94"/>
      <c r="E201" s="196"/>
      <c r="R201" s="7"/>
    </row>
    <row r="202" spans="1:18">
      <c r="A202" s="91"/>
      <c r="B202" s="91"/>
      <c r="C202" s="91"/>
      <c r="D202" s="94"/>
      <c r="E202" s="196"/>
      <c r="R202" s="7"/>
    </row>
    <row r="203" spans="1:18">
      <c r="A203" s="91"/>
      <c r="B203" s="91"/>
      <c r="C203" s="91"/>
      <c r="D203" s="94"/>
      <c r="E203" s="196"/>
      <c r="R203" s="7"/>
    </row>
    <row r="204" spans="1:18">
      <c r="A204" s="91"/>
      <c r="B204" s="91"/>
      <c r="C204" s="91"/>
      <c r="D204" s="94"/>
      <c r="E204" s="196"/>
      <c r="R204" s="7"/>
    </row>
    <row r="205" spans="1:18">
      <c r="A205" s="91"/>
      <c r="B205" s="91"/>
      <c r="C205" s="91"/>
      <c r="D205" s="94"/>
      <c r="E205" s="196"/>
      <c r="R205" s="7"/>
    </row>
    <row r="206" spans="1:18">
      <c r="A206" s="91"/>
      <c r="B206" s="91"/>
      <c r="C206" s="91"/>
      <c r="D206" s="94"/>
      <c r="E206" s="196"/>
      <c r="R206" s="7"/>
    </row>
    <row r="207" spans="1:18">
      <c r="A207" s="91"/>
      <c r="B207" s="94"/>
      <c r="C207" s="91"/>
      <c r="D207" s="94"/>
      <c r="E207" s="196"/>
      <c r="R207" s="7"/>
    </row>
    <row r="208" spans="1:18">
      <c r="A208" s="94"/>
      <c r="B208" s="94"/>
      <c r="C208" s="91"/>
      <c r="D208" s="94"/>
      <c r="E208" s="196"/>
      <c r="R208" s="7"/>
    </row>
    <row r="209" spans="1:18">
      <c r="A209" s="94"/>
      <c r="B209" s="91"/>
      <c r="C209" s="91"/>
      <c r="D209" s="94"/>
      <c r="E209" s="196"/>
      <c r="R209" s="7"/>
    </row>
    <row r="210" spans="1:18">
      <c r="A210" s="91"/>
      <c r="B210" s="91"/>
      <c r="C210" s="91"/>
      <c r="D210" s="94"/>
      <c r="E210" s="196"/>
      <c r="R210" s="7"/>
    </row>
    <row r="211" spans="1:18">
      <c r="A211" s="91"/>
      <c r="B211" s="91"/>
      <c r="C211" s="91"/>
      <c r="D211" s="94"/>
      <c r="E211" s="196"/>
      <c r="R211" s="7"/>
    </row>
    <row r="212" spans="1:18">
      <c r="A212" s="91"/>
      <c r="B212" s="91"/>
      <c r="C212" s="91"/>
      <c r="D212" s="94"/>
      <c r="E212" s="196"/>
      <c r="R212" s="7"/>
    </row>
    <row r="213" spans="1:18">
      <c r="A213" s="91"/>
      <c r="B213" s="91"/>
      <c r="C213" s="91"/>
      <c r="D213" s="94"/>
      <c r="E213" s="196"/>
      <c r="R213" s="7"/>
    </row>
    <row r="214" spans="1:18">
      <c r="A214" s="91"/>
      <c r="B214" s="91"/>
      <c r="C214" s="91"/>
      <c r="D214" s="94"/>
      <c r="E214" s="196"/>
      <c r="R214" s="7"/>
    </row>
    <row r="215" spans="1:18">
      <c r="A215" s="91"/>
      <c r="B215" s="94"/>
      <c r="C215" s="91"/>
      <c r="D215" s="94"/>
      <c r="E215" s="196"/>
      <c r="R215" s="7"/>
    </row>
    <row r="216" spans="1:18">
      <c r="A216" s="94"/>
      <c r="B216" s="94"/>
      <c r="C216" s="91"/>
      <c r="D216" s="94"/>
      <c r="E216" s="196"/>
      <c r="R216" s="7"/>
    </row>
    <row r="217" spans="1:18">
      <c r="A217" s="94"/>
      <c r="B217" s="91"/>
      <c r="C217" s="91"/>
      <c r="D217" s="94"/>
      <c r="E217" s="196"/>
      <c r="R217" s="7"/>
    </row>
    <row r="218" spans="1:18">
      <c r="A218" s="91"/>
      <c r="B218" s="91"/>
      <c r="C218" s="91"/>
      <c r="D218" s="94"/>
      <c r="E218" s="196"/>
      <c r="R218" s="7"/>
    </row>
    <row r="219" spans="1:18">
      <c r="A219" s="91"/>
      <c r="B219" s="91"/>
      <c r="C219" s="91"/>
      <c r="D219" s="94"/>
      <c r="E219" s="196"/>
      <c r="R219" s="7"/>
    </row>
    <row r="220" spans="1:18">
      <c r="A220" s="91"/>
      <c r="B220" s="91"/>
      <c r="C220" s="91"/>
      <c r="D220" s="94"/>
      <c r="E220" s="196"/>
      <c r="R220" s="7"/>
    </row>
    <row r="221" spans="1:18">
      <c r="A221" s="91"/>
      <c r="B221" s="91"/>
      <c r="C221" s="91"/>
      <c r="D221" s="94"/>
      <c r="E221" s="196"/>
      <c r="R221" s="7"/>
    </row>
    <row r="222" spans="1:18">
      <c r="A222" s="91"/>
      <c r="B222" s="91"/>
      <c r="C222" s="91"/>
      <c r="D222" s="94"/>
      <c r="E222" s="196"/>
      <c r="R222" s="7"/>
    </row>
    <row r="223" spans="1:18">
      <c r="A223" s="91"/>
      <c r="B223" s="94"/>
      <c r="C223" s="91"/>
      <c r="D223" s="94"/>
      <c r="E223" s="196"/>
      <c r="R223" s="7"/>
    </row>
    <row r="224" spans="1:18">
      <c r="A224" s="94"/>
      <c r="B224" s="94"/>
      <c r="C224" s="91"/>
      <c r="D224" s="94"/>
      <c r="E224" s="196"/>
      <c r="R224" s="7"/>
    </row>
    <row r="225" spans="1:18">
      <c r="A225" s="94"/>
      <c r="B225" s="91"/>
      <c r="C225" s="91"/>
      <c r="D225" s="94"/>
      <c r="E225" s="196"/>
      <c r="R225" s="7"/>
    </row>
    <row r="226" spans="1:18">
      <c r="A226" s="91"/>
      <c r="B226" s="91"/>
      <c r="C226" s="91"/>
      <c r="D226" s="94"/>
      <c r="E226" s="196"/>
      <c r="R226" s="7"/>
    </row>
    <row r="227" spans="1:18">
      <c r="A227" s="91"/>
      <c r="B227" s="91"/>
      <c r="C227" s="91"/>
      <c r="D227" s="94"/>
      <c r="E227" s="196"/>
      <c r="R227" s="7"/>
    </row>
    <row r="228" spans="1:18">
      <c r="A228" s="91"/>
      <c r="B228" s="91"/>
      <c r="C228" s="91"/>
      <c r="D228" s="94"/>
      <c r="E228" s="196"/>
      <c r="R228" s="7"/>
    </row>
    <row r="229" spans="1:18">
      <c r="A229" s="91"/>
      <c r="B229" s="91"/>
      <c r="C229" s="91"/>
      <c r="D229" s="94"/>
      <c r="E229" s="196"/>
      <c r="R229" s="7"/>
    </row>
    <row r="230" spans="1:18">
      <c r="A230" s="91"/>
      <c r="C230" s="91"/>
      <c r="D230" s="94"/>
      <c r="E230" s="196"/>
      <c r="R230" s="7"/>
    </row>
    <row r="231" spans="1:18">
      <c r="C231" s="91"/>
      <c r="D231" s="94"/>
      <c r="E231" s="196"/>
      <c r="R231" s="7"/>
    </row>
    <row r="232" spans="1:18">
      <c r="C232" s="91"/>
      <c r="D232" s="94"/>
      <c r="E232" s="196"/>
      <c r="R232" s="7"/>
    </row>
    <row r="233" spans="1:18">
      <c r="C233" s="91"/>
      <c r="D233" s="94"/>
      <c r="E233" s="196"/>
      <c r="R233" s="7"/>
    </row>
  </sheetData>
  <mergeCells count="2">
    <mergeCell ref="C10:D10"/>
    <mergeCell ref="A139:Z140"/>
  </mergeCells>
  <printOptions horizontalCentered="1"/>
  <pageMargins left="0" right="0" top="0" bottom="0" header="0.15748031496062992" footer="3.937007874015748E-2"/>
  <pageSetup paperSize="9" scale="63" fitToHeight="0" pageOrder="overThenDown" orientation="landscape" r:id="rId1"/>
  <headerFooter alignWithMargins="0"/>
  <rowBreaks count="3" manualBreakCount="3">
    <brk id="44" max="25" man="1"/>
    <brk id="93" max="25" man="1"/>
    <brk id="143" max="25" man="1"/>
  </rowBreaks>
  <colBreaks count="1" manualBreakCount="1">
    <brk id="25" max="1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9CCFF"/>
    <pageSetUpPr fitToPage="1"/>
  </sheetPr>
  <dimension ref="A1:Z164"/>
  <sheetViews>
    <sheetView showGridLines="0" view="pageBreakPreview" topLeftCell="A40" zoomScale="85" zoomScaleNormal="85" zoomScaleSheetLayoutView="85" zoomScalePageLayoutView="55" workbookViewId="0">
      <selection activeCell="T46" sqref="T46"/>
    </sheetView>
  </sheetViews>
  <sheetFormatPr defaultColWidth="9" defaultRowHeight="15"/>
  <cols>
    <col min="1" max="1" width="9" style="7" customWidth="1"/>
    <col min="2" max="2" width="5.5" style="7" customWidth="1"/>
    <col min="3" max="3" width="11" style="7" customWidth="1"/>
    <col min="4" max="4" width="30.75" style="68" customWidth="1"/>
    <col min="5" max="5" width="0.5" style="68" customWidth="1"/>
    <col min="6" max="6" width="7.5" style="7" customWidth="1"/>
    <col min="7" max="7" width="8.125" style="7" customWidth="1"/>
    <col min="8" max="8" width="11.875" style="7" customWidth="1"/>
    <col min="9" max="9" width="10.625" style="7" customWidth="1"/>
    <col min="10" max="11" width="8.5" style="7" customWidth="1"/>
    <col min="12" max="12" width="7.625" style="7" hidden="1" customWidth="1"/>
    <col min="13" max="13" width="0.5" style="7" customWidth="1"/>
    <col min="14" max="14" width="9" style="7"/>
    <col min="15" max="15" width="11" style="7" customWidth="1"/>
    <col min="16" max="16" width="9" style="7"/>
    <col min="17" max="17" width="0.5" style="7" customWidth="1"/>
    <col min="18" max="18" width="10.375" style="7" customWidth="1"/>
    <col min="19" max="16384" width="9" style="7"/>
  </cols>
  <sheetData>
    <row r="1" spans="1:26" s="5" customFormat="1">
      <c r="A1" s="205"/>
      <c r="B1" s="205"/>
      <c r="C1" s="205"/>
      <c r="D1" s="206"/>
      <c r="E1" s="205"/>
      <c r="F1" s="205"/>
      <c r="G1" s="205"/>
      <c r="H1" s="205"/>
      <c r="I1" s="205"/>
      <c r="J1" s="205"/>
      <c r="K1" s="205"/>
      <c r="L1" s="205"/>
      <c r="M1" s="205"/>
      <c r="N1" s="205"/>
      <c r="O1" s="205"/>
      <c r="P1" s="205"/>
      <c r="Q1" s="205"/>
      <c r="R1" s="205"/>
      <c r="S1" s="205"/>
      <c r="T1" s="205"/>
      <c r="U1" s="205"/>
      <c r="V1" s="205"/>
    </row>
    <row r="2" spans="1:26" s="5" customFormat="1">
      <c r="A2" s="205"/>
      <c r="B2" s="205"/>
      <c r="C2" s="205"/>
      <c r="D2" s="206"/>
      <c r="E2" s="205"/>
      <c r="F2" s="205"/>
      <c r="G2" s="205"/>
      <c r="H2" s="205"/>
      <c r="I2" s="205"/>
      <c r="J2" s="205"/>
      <c r="K2" s="205"/>
      <c r="L2" s="205"/>
      <c r="M2" s="205"/>
      <c r="N2" s="205"/>
      <c r="O2" s="205"/>
      <c r="P2" s="205"/>
      <c r="Q2" s="205"/>
      <c r="R2" s="205"/>
      <c r="S2" s="205"/>
      <c r="T2" s="205"/>
      <c r="U2" s="205"/>
      <c r="V2" s="205"/>
    </row>
    <row r="3" spans="1:26" s="5" customFormat="1" ht="14.45" customHeight="1">
      <c r="A3" s="205"/>
      <c r="B3" s="205"/>
      <c r="C3" s="205"/>
      <c r="D3" s="207"/>
      <c r="E3" s="207"/>
      <c r="F3" s="207"/>
      <c r="G3" s="207"/>
      <c r="H3" s="207"/>
      <c r="I3" s="207"/>
      <c r="J3" s="207"/>
      <c r="K3" s="207"/>
      <c r="L3" s="207"/>
      <c r="M3" s="207"/>
      <c r="N3" s="205"/>
      <c r="O3" s="205"/>
      <c r="P3" s="205"/>
      <c r="Q3" s="205"/>
      <c r="R3" s="205"/>
      <c r="S3" s="205"/>
      <c r="T3" s="205"/>
      <c r="U3" s="205"/>
      <c r="V3" s="205"/>
    </row>
    <row r="4" spans="1:26" s="5" customFormat="1" ht="14.45" customHeight="1">
      <c r="A4" s="205"/>
      <c r="B4" s="205"/>
      <c r="C4" s="205"/>
      <c r="D4" s="207"/>
      <c r="E4" s="207"/>
      <c r="F4" s="207"/>
      <c r="G4" s="207"/>
      <c r="H4" s="207"/>
      <c r="I4" s="207"/>
      <c r="J4" s="207"/>
      <c r="K4" s="207"/>
      <c r="L4" s="207"/>
      <c r="M4" s="207"/>
      <c r="N4" s="205"/>
      <c r="O4" s="205"/>
      <c r="P4" s="205"/>
      <c r="Q4" s="205"/>
      <c r="R4" s="205"/>
      <c r="S4" s="205"/>
      <c r="T4" s="205"/>
      <c r="U4" s="205"/>
      <c r="V4" s="205"/>
    </row>
    <row r="5" spans="1:26" s="5" customFormat="1" ht="14.45" customHeight="1">
      <c r="A5" s="205"/>
      <c r="B5" s="205"/>
      <c r="C5" s="205"/>
      <c r="D5" s="207"/>
      <c r="E5" s="207"/>
      <c r="F5" s="207"/>
      <c r="G5" s="207"/>
      <c r="H5" s="207"/>
      <c r="I5" s="207"/>
      <c r="J5" s="207"/>
      <c r="K5" s="207"/>
      <c r="L5" s="207"/>
      <c r="M5" s="207"/>
      <c r="N5" s="205"/>
      <c r="O5" s="205"/>
      <c r="P5" s="205"/>
      <c r="Q5" s="205"/>
      <c r="R5" s="205"/>
      <c r="S5" s="205"/>
      <c r="T5" s="205"/>
      <c r="U5" s="205"/>
      <c r="V5" s="205"/>
    </row>
    <row r="6" spans="1:26" ht="11.25" customHeight="1">
      <c r="A6" s="205"/>
      <c r="B6" s="205"/>
      <c r="C6" s="205"/>
      <c r="D6" s="207"/>
      <c r="E6" s="207"/>
      <c r="F6" s="207"/>
      <c r="G6" s="207"/>
      <c r="H6" s="207"/>
      <c r="I6" s="207"/>
      <c r="J6" s="207"/>
      <c r="K6" s="207"/>
      <c r="L6" s="207"/>
      <c r="M6" s="207"/>
      <c r="N6" s="205"/>
      <c r="O6" s="205"/>
      <c r="P6" s="205"/>
      <c r="Q6" s="205"/>
      <c r="R6" s="205"/>
      <c r="S6" s="205"/>
      <c r="T6" s="205"/>
      <c r="U6" s="205"/>
      <c r="V6" s="205"/>
    </row>
    <row r="7" spans="1:26" ht="11.25" customHeight="1">
      <c r="A7" s="205"/>
      <c r="B7" s="205"/>
      <c r="C7" s="205"/>
      <c r="D7" s="206"/>
      <c r="E7" s="205"/>
      <c r="F7" s="205"/>
      <c r="G7" s="205"/>
      <c r="H7" s="205"/>
      <c r="I7" s="205"/>
      <c r="J7" s="205"/>
      <c r="K7" s="205"/>
      <c r="L7" s="205"/>
      <c r="M7" s="205"/>
      <c r="N7" s="205"/>
      <c r="O7" s="205"/>
      <c r="P7" s="205"/>
      <c r="Q7" s="205"/>
      <c r="R7" s="205"/>
      <c r="S7" s="205"/>
      <c r="T7" s="205"/>
      <c r="U7" s="205"/>
      <c r="V7" s="205"/>
    </row>
    <row r="8" spans="1:26" ht="11.25" customHeight="1">
      <c r="A8" s="205"/>
      <c r="B8" s="205"/>
      <c r="C8" s="205"/>
      <c r="D8" s="206"/>
      <c r="E8" s="205"/>
      <c r="F8" s="205"/>
      <c r="G8" s="205"/>
      <c r="H8" s="205"/>
      <c r="I8" s="205"/>
      <c r="J8" s="205"/>
      <c r="K8" s="205"/>
      <c r="L8" s="205"/>
      <c r="M8" s="205"/>
      <c r="N8" s="205"/>
      <c r="O8" s="205"/>
      <c r="P8" s="205"/>
      <c r="Q8" s="205"/>
      <c r="R8" s="205"/>
      <c r="S8" s="205"/>
      <c r="T8" s="205"/>
      <c r="U8" s="205"/>
      <c r="V8" s="205"/>
    </row>
    <row r="9" spans="1:26" s="9" customFormat="1" ht="18" customHeight="1">
      <c r="A9" s="8" t="str">
        <f>"AREIT Product Summary - "&amp;TEXT([1]Setup!$K$2,"mmmm yyyy")</f>
        <v>AREIT Product Summary - June 2018</v>
      </c>
      <c r="M9" s="7"/>
      <c r="V9" s="10" t="str">
        <f>"Transaction days: "&amp;[1]Setup!$K$8&amp;" / Period ending: "&amp;TEXT([1]Setup!$K$4,"dddd, dd mmmm yyyy")</f>
        <v>Transaction days: 23 / Period ending: Friday, 29 June 2018</v>
      </c>
    </row>
    <row r="10" spans="1:26" s="209" customFormat="1" ht="18.75">
      <c r="A10" s="208" t="s">
        <v>622</v>
      </c>
      <c r="E10" s="9"/>
      <c r="F10" s="208" t="s">
        <v>1</v>
      </c>
      <c r="M10" s="7"/>
      <c r="N10" s="208" t="s">
        <v>2</v>
      </c>
      <c r="Q10" s="9"/>
      <c r="R10" s="208" t="s">
        <v>3</v>
      </c>
      <c r="W10" s="210"/>
      <c r="X10" s="210"/>
      <c r="Y10" s="210"/>
      <c r="Z10" s="210"/>
    </row>
    <row r="11" spans="1:26" ht="47.25" customHeight="1">
      <c r="A11" s="13" t="s">
        <v>4</v>
      </c>
      <c r="B11" s="13" t="s">
        <v>241</v>
      </c>
      <c r="C11" s="97" t="s">
        <v>6</v>
      </c>
      <c r="D11" s="98"/>
      <c r="E11" s="9"/>
      <c r="F11" s="17" t="s">
        <v>502</v>
      </c>
      <c r="G11" s="17" t="s">
        <v>623</v>
      </c>
      <c r="H11" s="17" t="s">
        <v>11</v>
      </c>
      <c r="I11" s="17" t="s">
        <v>12</v>
      </c>
      <c r="J11" s="17" t="s">
        <v>13</v>
      </c>
      <c r="K11" s="211" t="s">
        <v>14</v>
      </c>
      <c r="L11" s="212" t="s">
        <v>504</v>
      </c>
      <c r="N11" s="17" t="s">
        <v>18</v>
      </c>
      <c r="O11" s="17" t="s">
        <v>19</v>
      </c>
      <c r="P11" s="17" t="s">
        <v>20</v>
      </c>
      <c r="Q11" s="9"/>
      <c r="R11" s="18" t="s">
        <v>21</v>
      </c>
      <c r="S11" s="18" t="s">
        <v>22</v>
      </c>
      <c r="T11" s="18" t="s">
        <v>23</v>
      </c>
      <c r="U11" s="18" t="s">
        <v>24</v>
      </c>
      <c r="V11" s="18" t="s">
        <v>25</v>
      </c>
    </row>
    <row r="12" spans="1:26" s="218" customFormat="1">
      <c r="A12" s="213" t="s">
        <v>160</v>
      </c>
      <c r="B12" s="214"/>
      <c r="C12" s="214"/>
      <c r="D12" s="214"/>
      <c r="E12" s="9"/>
      <c r="F12" s="215"/>
      <c r="G12" s="214"/>
      <c r="H12" s="214"/>
      <c r="I12" s="214"/>
      <c r="J12" s="214"/>
      <c r="K12" s="214"/>
      <c r="L12" s="214"/>
      <c r="M12" s="7"/>
      <c r="N12" s="215"/>
      <c r="O12" s="216"/>
      <c r="P12" s="216"/>
      <c r="Q12" s="9"/>
      <c r="R12" s="217"/>
      <c r="S12" s="216"/>
      <c r="T12" s="216"/>
      <c r="U12" s="216"/>
      <c r="V12" s="214"/>
    </row>
    <row r="13" spans="1:26">
      <c r="A13" s="21" t="s">
        <v>624</v>
      </c>
      <c r="B13" s="219" t="s">
        <v>625</v>
      </c>
      <c r="C13" s="46" t="str">
        <f>VLOOKUP(A13,'[1]REIT Infra List'!$A$2:$B$56,2,FALSE)</f>
        <v>Abacus Property Group</v>
      </c>
      <c r="D13" s="24"/>
      <c r="E13" s="9"/>
      <c r="F13" s="220">
        <f>_xlfn.IFNA(VLOOKUP(A13,'[1]REIT Infra List'!$A$2:$L$56,7,FALSE)/1000000,"n/a")</f>
        <v>2184.1967644900001</v>
      </c>
      <c r="G13" s="26">
        <f>_xlfn.IFNA(VLOOKUP(A13,'[1]REIT Infra List'!$A$2:$L$56,12,FALSE)/1000000,"n/a")</f>
        <v>-40.555377589999672</v>
      </c>
      <c r="H13" s="221">
        <f>_xlfn.IFNA(VLOOKUP(A13,[1]IRESS!$A$10:$F$875,5,FALSE),"n/a")</f>
        <v>78614463.979099989</v>
      </c>
      <c r="I13" s="222">
        <f>_xlfn.IFNA(VLOOKUP(A13,[1]IRESS!$A$11:$G$674,7,FALSE),"n/a")</f>
        <v>20413993</v>
      </c>
      <c r="J13" s="221">
        <f>_xlfn.IFNA(VLOOKUP(A13,[1]IRESS!$A$10:$F$875,4,FALSE),"n/a")</f>
        <v>45703</v>
      </c>
      <c r="K13" s="223">
        <f>IFERROR(+H13/(F13*1000000),"n/a")</f>
        <v>3.599239100487181E-2</v>
      </c>
      <c r="L13" s="224" t="e">
        <f>VLOOKUP(A13,[1]Spreads!$A$1:$G$87,7,FALSE)</f>
        <v>#N/A</v>
      </c>
      <c r="N13" s="225">
        <f>_xlfn.IFNA(VLOOKUP($A13,[1]IRESS!$A$11:$AE$696,6,FALSE)/100,"n/a")</f>
        <v>3.77</v>
      </c>
      <c r="O13" s="32">
        <f>_xlfn.IFNA(VLOOKUP($A13,[1]IRESS!$A$11:$AE$696,21,FALSE)/100,"n/a")</f>
        <v>4.26</v>
      </c>
      <c r="P13" s="225">
        <f>_xlfn.IFNA(VLOOKUP($A13,[1]IRESS!$A$11:$AE$696,22,FALSE)/100,"n/a")</f>
        <v>2.92</v>
      </c>
      <c r="Q13" s="9"/>
      <c r="R13" s="35">
        <f>IFERROR((VLOOKUP($A13,[1]IRESS!$A$11:$AE$696,20,FALSE)/100)/N13,"n/a")</f>
        <v>4.7745358090185673E-2</v>
      </c>
      <c r="S13" s="226">
        <f>IFERROR(VLOOKUP($A13,[1]Morningstar!$A$2:$F$477,3,FALSE),"n/a")</f>
        <v>2.3E-3</v>
      </c>
      <c r="T13" s="35">
        <f>IFERROR(VLOOKUP($A13,[1]Morningstar!$A$2:$F$477,4,FALSE),"n/a")</f>
        <v>0.25540000000000002</v>
      </c>
      <c r="U13" s="226">
        <f>IFERROR(VLOOKUP($A13,[1]Morningstar!$A$2:$F$477,5,FALSE),"n/a")</f>
        <v>0.1593</v>
      </c>
      <c r="V13" s="35">
        <f>IFERROR(VLOOKUP($A13,[1]Morningstar!$A$2:$F$477,6,FALSE),"n/a")</f>
        <v>0.18099999999999999</v>
      </c>
    </row>
    <row r="14" spans="1:26">
      <c r="A14" s="21" t="s">
        <v>626</v>
      </c>
      <c r="B14" s="219" t="s">
        <v>529</v>
      </c>
      <c r="C14" s="46" t="str">
        <f>VLOOKUP(A14,'[1]REIT Infra List'!$A$2:$B$56,2,FALSE)</f>
        <v>Agricultural Land Trust</v>
      </c>
      <c r="D14" s="24"/>
      <c r="E14" s="9"/>
      <c r="F14" s="220">
        <f>_xlfn.IFNA(VLOOKUP(A14,'[1]REIT Infra List'!$A$2:$L$56,7,FALSE)/1000000,"n/a")</f>
        <v>3.2178311879999999</v>
      </c>
      <c r="G14" s="26">
        <f>_xlfn.IFNA(VLOOKUP(A14,'[1]REIT Infra List'!$A$2:$L$56,12,FALSE)/1000000,"n/a")</f>
        <v>-0.87759032400000003</v>
      </c>
      <c r="H14" s="221">
        <f>_xlfn.IFNA(VLOOKUP(A14,[1]IRESS!$A$10:$F$875,5,FALSE),"n/a")</f>
        <v>4474.2919999999995</v>
      </c>
      <c r="I14" s="222">
        <f>_xlfn.IFNA(VLOOKUP(A14,[1]IRESS!$A$11:$G$674,7,FALSE),"n/a")</f>
        <v>138312</v>
      </c>
      <c r="J14" s="221">
        <f>_xlfn.IFNA(VLOOKUP(A14,[1]IRESS!$A$10:$F$875,4,FALSE),"n/a")</f>
        <v>3</v>
      </c>
      <c r="K14" s="223">
        <f t="shared" ref="K14:K68" si="0">IFERROR(+H14/(F14*1000000),"n/a")</f>
        <v>1.390468218682701E-3</v>
      </c>
      <c r="L14" s="224" t="e">
        <f>VLOOKUP(A14,[1]Spreads!$A$1:$G$87,7,FALSE)</f>
        <v>#N/A</v>
      </c>
      <c r="N14" s="225">
        <f>_xlfn.IFNA(VLOOKUP($A14,[1]IRESS!$A$11:$AE$696,6,FALSE)/100,"n/a")</f>
        <v>3.2000000000000001E-2</v>
      </c>
      <c r="O14" s="32">
        <f>_xlfn.IFNA(VLOOKUP($A14,[1]IRESS!$A$11:$AE$696,21,FALSE)/100,"n/a")</f>
        <v>7.4999999999999997E-2</v>
      </c>
      <c r="P14" s="225">
        <f>_xlfn.IFNA(VLOOKUP($A14,[1]IRESS!$A$11:$AE$696,22,FALSE)/100,"n/a")</f>
        <v>3.2000000000000001E-2</v>
      </c>
      <c r="Q14" s="9"/>
      <c r="R14" s="35">
        <f>IFERROR((VLOOKUP($A14,[1]IRESS!$A$11:$AE$696,20,FALSE)/100)/N14,"n/a")</f>
        <v>0</v>
      </c>
      <c r="S14" s="226">
        <f>IFERROR(VLOOKUP($A14,[1]Morningstar!$A$2:$F$477,3,FALSE),"n/a")</f>
        <v>-0.2727</v>
      </c>
      <c r="T14" s="35">
        <f>IFERROR(VLOOKUP($A14,[1]Morningstar!$A$2:$F$477,4,FALSE),"n/a")</f>
        <v>-0.27289999999999998</v>
      </c>
      <c r="U14" s="226">
        <f>IFERROR(VLOOKUP($A14,[1]Morningstar!$A$2:$F$477,5,FALSE),"n/a")</f>
        <v>-0.26919999999999999</v>
      </c>
      <c r="V14" s="35">
        <f>IFERROR(VLOOKUP($A14,[1]Morningstar!$A$2:$F$477,6,FALSE),"n/a")</f>
        <v>-0.246</v>
      </c>
    </row>
    <row r="15" spans="1:26" ht="13.5" customHeight="1">
      <c r="A15" s="21" t="s">
        <v>627</v>
      </c>
      <c r="B15" s="219" t="s">
        <v>625</v>
      </c>
      <c r="C15" s="46" t="str">
        <f>VLOOKUP(A15,'[1]REIT Infra List'!$A$2:$B$56,2,FALSE)</f>
        <v>Asia Pacific Data Centre Group</v>
      </c>
      <c r="D15" s="24"/>
      <c r="E15" s="9"/>
      <c r="F15" s="220">
        <f>_xlfn.IFNA(VLOOKUP(A15,'[1]REIT Infra List'!$A$2:$L$56,7,FALSE)/1000000,"n/a")</f>
        <v>220.80019200000001</v>
      </c>
      <c r="G15" s="26">
        <f>_xlfn.IFNA(VLOOKUP(A15,'[1]REIT Infra List'!$A$2:$L$56,12,FALSE)/1000000,"n/a")</f>
        <v>13.800012000000001</v>
      </c>
      <c r="H15" s="221">
        <f>_xlfn.IFNA(VLOOKUP(A15,[1]IRESS!$A$10:$F$875,5,FALSE),"n/a")</f>
        <v>502071.35000000009</v>
      </c>
      <c r="I15" s="222">
        <f>_xlfn.IFNA(VLOOKUP(A15,[1]IRESS!$A$11:$G$674,7,FALSE),"n/a")</f>
        <v>270569</v>
      </c>
      <c r="J15" s="221">
        <f>_xlfn.IFNA(VLOOKUP(A15,[1]IRESS!$A$10:$F$875,4,FALSE),"n/a")</f>
        <v>75</v>
      </c>
      <c r="K15" s="223">
        <f t="shared" si="0"/>
        <v>2.2738718904737189E-3</v>
      </c>
      <c r="L15" s="224" t="e">
        <f>VLOOKUP(A15,[1]Spreads!$A$1:$G$87,7,FALSE)</f>
        <v>#N/A</v>
      </c>
      <c r="N15" s="225">
        <f>_xlfn.IFNA(VLOOKUP($A15,[1]IRESS!$A$11:$AE$696,6,FALSE)/100,"n/a")</f>
        <v>1.92</v>
      </c>
      <c r="O15" s="32">
        <f>_xlfn.IFNA(VLOOKUP($A15,[1]IRESS!$A$11:$AE$696,21,FALSE)/100,"n/a")</f>
        <v>2.16</v>
      </c>
      <c r="P15" s="225">
        <f>_xlfn.IFNA(VLOOKUP($A15,[1]IRESS!$A$11:$AE$696,22,FALSE)/100,"n/a")</f>
        <v>1.65</v>
      </c>
      <c r="Q15" s="9"/>
      <c r="R15" s="35">
        <f>IFERROR((VLOOKUP($A15,[1]IRESS!$A$11:$AE$696,20,FALSE)/100)/N15,"n/a")</f>
        <v>4.9479166666666671E-2</v>
      </c>
      <c r="S15" s="226">
        <f>IFERROR(VLOOKUP($A15,[1]Morningstar!$A$2:$F$477,3,FALSE),"n/a")</f>
        <v>7.46E-2</v>
      </c>
      <c r="T15" s="35">
        <f>IFERROR(VLOOKUP($A15,[1]Morningstar!$A$2:$F$477,4,FALSE),"n/a")</f>
        <v>0.14630000000000001</v>
      </c>
      <c r="U15" s="226">
        <f>IFERROR(VLOOKUP($A15,[1]Morningstar!$A$2:$F$477,5,FALSE),"n/a")</f>
        <v>0.2205</v>
      </c>
      <c r="V15" s="35">
        <f>IFERROR(VLOOKUP($A15,[1]Morningstar!$A$2:$F$477,6,FALSE),"n/a")</f>
        <v>0.20180000000000001</v>
      </c>
    </row>
    <row r="16" spans="1:26" ht="13.5" customHeight="1">
      <c r="A16" s="21" t="s">
        <v>628</v>
      </c>
      <c r="B16" s="219" t="s">
        <v>625</v>
      </c>
      <c r="C16" s="46" t="str">
        <f>VLOOKUP(A16,'[1]REIT Infra List'!$A$2:$B$56,2,FALSE)</f>
        <v>Australian Unity Office Fund</v>
      </c>
      <c r="D16" s="24"/>
      <c r="E16" s="9"/>
      <c r="F16" s="220">
        <f>_xlfn.IFNA(VLOOKUP(A16,'[1]REIT Infra List'!$A$2:$L$56,7,FALSE)/1000000,"n/a")</f>
        <v>407.07988</v>
      </c>
      <c r="G16" s="26">
        <f>_xlfn.IFNA(VLOOKUP(A16,'[1]REIT Infra List'!$A$2:$L$56,12,FALSE)/1000000,"n/a")</f>
        <v>21.168153759999992</v>
      </c>
      <c r="H16" s="221">
        <f>_xlfn.IFNA(VLOOKUP(A16,[1]IRESS!$A$10:$F$875,5,FALSE),"n/a")</f>
        <v>11739277.794999998</v>
      </c>
      <c r="I16" s="222">
        <f>_xlfn.IFNA(VLOOKUP(A16,[1]IRESS!$A$11:$G$674,7,FALSE),"n/a")</f>
        <v>4817245</v>
      </c>
      <c r="J16" s="221">
        <f>_xlfn.IFNA(VLOOKUP(A16,[1]IRESS!$A$10:$F$875,4,FALSE),"n/a")</f>
        <v>1680</v>
      </c>
      <c r="K16" s="223">
        <f t="shared" si="0"/>
        <v>2.8837774529657419E-2</v>
      </c>
      <c r="L16" s="224" t="e">
        <f>VLOOKUP(A16,[1]Spreads!$A$1:$G$87,7,FALSE)</f>
        <v>#N/A</v>
      </c>
      <c r="N16" s="225">
        <f>_xlfn.IFNA(VLOOKUP($A16,[1]IRESS!$A$11:$AE$696,6,FALSE)/100,"n/a")</f>
        <v>2.5</v>
      </c>
      <c r="O16" s="32">
        <f>_xlfn.IFNA(VLOOKUP($A16,[1]IRESS!$A$11:$AE$696,21,FALSE)/100,"n/a")</f>
        <v>2.57</v>
      </c>
      <c r="P16" s="225">
        <f>_xlfn.IFNA(VLOOKUP($A16,[1]IRESS!$A$11:$AE$696,22,FALSE)/100,"n/a")</f>
        <v>2.1800000000000002</v>
      </c>
      <c r="Q16" s="9"/>
      <c r="R16" s="35">
        <f>IFERROR((VLOOKUP($A16,[1]IRESS!$A$11:$AE$696,20,FALSE)/100)/N16,"n/a")</f>
        <v>6.2362560296058654E-2</v>
      </c>
      <c r="S16" s="226">
        <f>IFERROR(VLOOKUP($A16,[1]Morningstar!$A$2:$F$477,3,FALSE),"n/a")</f>
        <v>7.6100000000000001E-2</v>
      </c>
      <c r="T16" s="35">
        <f>IFERROR(VLOOKUP($A16,[1]Morningstar!$A$2:$F$477,4,FALSE),"n/a")</f>
        <v>0.1973</v>
      </c>
      <c r="U16" s="226" t="str">
        <f>IFERROR(VLOOKUP($A16,[1]Morningstar!$A$2:$F$477,5,FALSE),"n/a")</f>
        <v>n/a</v>
      </c>
      <c r="V16" s="35" t="str">
        <f>IFERROR(VLOOKUP($A16,[1]Morningstar!$A$2:$F$477,6,FALSE),"n/a")</f>
        <v>n/a</v>
      </c>
    </row>
    <row r="17" spans="1:22" ht="13.5" customHeight="1">
      <c r="A17" s="21" t="s">
        <v>629</v>
      </c>
      <c r="B17" s="219" t="s">
        <v>529</v>
      </c>
      <c r="C17" s="46" t="str">
        <f>VLOOKUP(A17,'[1]REIT Infra List'!$A$2:$B$56,2,FALSE)</f>
        <v>Aims Property Securities Fund</v>
      </c>
      <c r="D17" s="24"/>
      <c r="E17" s="9"/>
      <c r="F17" s="220">
        <f>_xlfn.IFNA(VLOOKUP(A17,'[1]REIT Infra List'!$A$2:$L$56,7,FALSE)/1000000,"n/a")</f>
        <v>70.291681424999993</v>
      </c>
      <c r="G17" s="26">
        <f>_xlfn.IFNA(VLOOKUP(A17,'[1]REIT Infra List'!$A$2:$L$56,12,FALSE)/1000000,"n/a")</f>
        <v>-2.9009265349999964</v>
      </c>
      <c r="H17" s="221">
        <f>_xlfn.IFNA(VLOOKUP(A17,[1]IRESS!$A$10:$F$875,5,FALSE),"n/a")</f>
        <v>292638.68</v>
      </c>
      <c r="I17" s="222">
        <f>_xlfn.IFNA(VLOOKUP(A17,[1]IRESS!$A$11:$G$674,7,FALSE),"n/a")</f>
        <v>178486</v>
      </c>
      <c r="J17" s="221">
        <f>_xlfn.IFNA(VLOOKUP(A17,[1]IRESS!$A$10:$F$875,4,FALSE),"n/a")</f>
        <v>29</v>
      </c>
      <c r="K17" s="223">
        <f t="shared" si="0"/>
        <v>4.1632050061605136E-3</v>
      </c>
      <c r="L17" s="224" t="e">
        <f>VLOOKUP(A17,[1]Spreads!$A$1:$G$87,7,FALSE)</f>
        <v>#N/A</v>
      </c>
      <c r="N17" s="225">
        <f>_xlfn.IFNA(VLOOKUP($A17,[1]IRESS!$A$11:$AE$696,6,FALSE)/100,"n/a")</f>
        <v>1.575</v>
      </c>
      <c r="O17" s="32">
        <f>_xlfn.IFNA(VLOOKUP($A17,[1]IRESS!$A$11:$AE$696,21,FALSE)/100,"n/a")</f>
        <v>1.73</v>
      </c>
      <c r="P17" s="225">
        <f>_xlfn.IFNA(VLOOKUP($A17,[1]IRESS!$A$11:$AE$696,22,FALSE)/100,"n/a")</f>
        <v>1.48</v>
      </c>
      <c r="Q17" s="9"/>
      <c r="R17" s="35">
        <f>IFERROR((VLOOKUP($A17,[1]IRESS!$A$11:$AE$696,20,FALSE)/100)/N17,"n/a")</f>
        <v>1.8191746031746031E-2</v>
      </c>
      <c r="S17" s="226">
        <f>IFERROR(VLOOKUP($A17,[1]Morningstar!$A$2:$F$477,3,FALSE),"n/a")</f>
        <v>-3.7199999999999997E-2</v>
      </c>
      <c r="T17" s="35">
        <f>IFERROR(VLOOKUP($A17,[1]Morningstar!$A$2:$F$477,4,FALSE),"n/a")</f>
        <v>6.4899999999999999E-2</v>
      </c>
      <c r="U17" s="226">
        <f>IFERROR(VLOOKUP($A17,[1]Morningstar!$A$2:$F$477,5,FALSE),"n/a")</f>
        <v>0.1057</v>
      </c>
      <c r="V17" s="35">
        <f>IFERROR(VLOOKUP($A17,[1]Morningstar!$A$2:$F$477,6,FALSE),"n/a")</f>
        <v>0.23039999999999999</v>
      </c>
    </row>
    <row r="18" spans="1:22">
      <c r="A18" s="21" t="s">
        <v>630</v>
      </c>
      <c r="B18" s="219" t="s">
        <v>625</v>
      </c>
      <c r="C18" s="46" t="str">
        <f>VLOOKUP(A18,'[1]REIT Infra List'!$A$2:$B$56,2,FALSE)</f>
        <v>Aspen Group</v>
      </c>
      <c r="D18" s="24"/>
      <c r="E18" s="9"/>
      <c r="F18" s="220">
        <f>_xlfn.IFNA(VLOOKUP(A18,'[1]REIT Infra List'!$A$2:$L$56,7,FALSE)/1000000,"n/a")</f>
        <v>94.175515274999995</v>
      </c>
      <c r="G18" s="26">
        <f>_xlfn.IFNA(VLOOKUP(A18,'[1]REIT Infra List'!$A$2:$L$56,12,FALSE)/1000000,"n/a")</f>
        <v>2.4653276249999849</v>
      </c>
      <c r="H18" s="221">
        <f>_xlfn.IFNA(VLOOKUP(A18,[1]IRESS!$A$10:$F$875,5,FALSE),"n/a")</f>
        <v>2675942.3825000003</v>
      </c>
      <c r="I18" s="222">
        <f>_xlfn.IFNA(VLOOKUP(A18,[1]IRESS!$A$11:$G$674,7,FALSE),"n/a")</f>
        <v>2781236</v>
      </c>
      <c r="J18" s="221">
        <f>_xlfn.IFNA(VLOOKUP(A18,[1]IRESS!$A$10:$F$875,4,FALSE),"n/a")</f>
        <v>574</v>
      </c>
      <c r="K18" s="223">
        <f t="shared" si="0"/>
        <v>2.8414417215409288E-2</v>
      </c>
      <c r="L18" s="224" t="e">
        <f>VLOOKUP(A18,[1]Spreads!$A$1:$G$87,7,FALSE)</f>
        <v>#N/A</v>
      </c>
      <c r="N18" s="225">
        <f>_xlfn.IFNA(VLOOKUP($A18,[1]IRESS!$A$11:$AE$696,6,FALSE)/100,"n/a")</f>
        <v>0.95499999999999996</v>
      </c>
      <c r="O18" s="32">
        <f>_xlfn.IFNA(VLOOKUP($A18,[1]IRESS!$A$11:$AE$696,21,FALSE)/100,"n/a")</f>
        <v>1.165</v>
      </c>
      <c r="P18" s="225">
        <f>_xlfn.IFNA(VLOOKUP($A18,[1]IRESS!$A$11:$AE$696,22,FALSE)/100,"n/a")</f>
        <v>0.9</v>
      </c>
      <c r="Q18" s="9"/>
      <c r="R18" s="35">
        <f>IFERROR((VLOOKUP($A18,[1]IRESS!$A$11:$AE$696,20,FALSE)/100)/N18,"n/a")</f>
        <v>4.3979057591623044E-2</v>
      </c>
      <c r="S18" s="226">
        <f>IFERROR(VLOOKUP($A18,[1]Morningstar!$A$2:$F$477,3,FALSE),"n/a")</f>
        <v>3.3500000000000002E-2</v>
      </c>
      <c r="T18" s="35">
        <f>IFERROR(VLOOKUP($A18,[1]Morningstar!$A$2:$F$477,4,FALSE),"n/a")</f>
        <v>-5.2900000000000003E-2</v>
      </c>
      <c r="U18" s="226">
        <f>IFERROR(VLOOKUP($A18,[1]Morningstar!$A$2:$F$477,5,FALSE),"n/a")</f>
        <v>-4.1599999999999998E-2</v>
      </c>
      <c r="V18" s="35">
        <f>IFERROR(VLOOKUP($A18,[1]Morningstar!$A$2:$F$477,6,FALSE),"n/a")</f>
        <v>-4.9599999999999998E-2</v>
      </c>
    </row>
    <row r="19" spans="1:22">
      <c r="A19" s="21" t="s">
        <v>631</v>
      </c>
      <c r="B19" s="219" t="s">
        <v>625</v>
      </c>
      <c r="C19" s="46" t="str">
        <f>VLOOKUP(A19,'[1]REIT Infra List'!$A$2:$B$56,2,FALSE)</f>
        <v>Arena REIT.</v>
      </c>
      <c r="D19" s="24"/>
      <c r="E19" s="9"/>
      <c r="F19" s="220">
        <f>_xlfn.IFNA(VLOOKUP(A19,'[1]REIT Infra List'!$A$2:$L$56,7,FALSE)/1000000,"n/a")</f>
        <v>579.10458979999999</v>
      </c>
      <c r="G19" s="26">
        <f>_xlfn.IFNA(VLOOKUP(A19,'[1]REIT Infra List'!$A$2:$L$56,12,FALSE)/1000000,"n/a")</f>
        <v>-10.774038879999996</v>
      </c>
      <c r="H19" s="221">
        <f>_xlfn.IFNA(VLOOKUP(A19,[1]IRESS!$A$10:$F$875,5,FALSE),"n/a")</f>
        <v>16859909.6351</v>
      </c>
      <c r="I19" s="222">
        <f>_xlfn.IFNA(VLOOKUP(A19,[1]IRESS!$A$11:$G$674,7,FALSE),"n/a")</f>
        <v>7588039</v>
      </c>
      <c r="J19" s="221">
        <f>_xlfn.IFNA(VLOOKUP(A19,[1]IRESS!$A$10:$F$875,4,FALSE),"n/a")</f>
        <v>11154</v>
      </c>
      <c r="K19" s="223">
        <f t="shared" si="0"/>
        <v>2.9113755843176364E-2</v>
      </c>
      <c r="L19" s="224" t="e">
        <f>VLOOKUP(A19,[1]Spreads!$A$1:$G$87,7,FALSE)</f>
        <v>#N/A</v>
      </c>
      <c r="N19" s="225">
        <f>_xlfn.IFNA(VLOOKUP($A19,[1]IRESS!$A$11:$AE$696,6,FALSE)/100,"n/a")</f>
        <v>2.15</v>
      </c>
      <c r="O19" s="32">
        <f>_xlfn.IFNA(VLOOKUP($A19,[1]IRESS!$A$11:$AE$696,21,FALSE)/100,"n/a")</f>
        <v>2.54</v>
      </c>
      <c r="P19" s="225">
        <f>_xlfn.IFNA(VLOOKUP($A19,[1]IRESS!$A$11:$AE$696,22,FALSE)/100,"n/a")</f>
        <v>2.06</v>
      </c>
      <c r="Q19" s="9"/>
      <c r="R19" s="35">
        <f>IFERROR((VLOOKUP($A19,[1]IRESS!$A$11:$AE$696,20,FALSE)/100)/N19,"n/a")</f>
        <v>5.9534883720930236E-2</v>
      </c>
      <c r="S19" s="226">
        <f>IFERROR(VLOOKUP($A19,[1]Morningstar!$A$2:$F$477,3,FALSE),"n/a")</f>
        <v>1.01E-2</v>
      </c>
      <c r="T19" s="35">
        <f>IFERROR(VLOOKUP($A19,[1]Morningstar!$A$2:$F$477,4,FALSE),"n/a")</f>
        <v>1.1900000000000001E-2</v>
      </c>
      <c r="U19" s="226">
        <f>IFERROR(VLOOKUP($A19,[1]Morningstar!$A$2:$F$477,5,FALSE),"n/a")</f>
        <v>0.186</v>
      </c>
      <c r="V19" s="35">
        <f>IFERROR(VLOOKUP($A19,[1]Morningstar!$A$2:$F$477,6,FALSE),"n/a")</f>
        <v>0.23549999999999999</v>
      </c>
    </row>
    <row r="20" spans="1:22">
      <c r="A20" s="21" t="s">
        <v>632</v>
      </c>
      <c r="B20" s="219" t="s">
        <v>529</v>
      </c>
      <c r="C20" s="46" t="str">
        <f>VLOOKUP(A20,'[1]REIT Infra List'!$A$2:$B$56,2,FALSE)</f>
        <v>Aventus Retail Property Fund</v>
      </c>
      <c r="D20" s="24"/>
      <c r="E20" s="9"/>
      <c r="F20" s="220">
        <f>_xlfn.IFNA(VLOOKUP(A20,'[1]REIT Infra List'!$A$2:$L$56,7,FALSE)/1000000,"n/a")</f>
        <v>1106.9503199999999</v>
      </c>
      <c r="G20" s="26">
        <f>_xlfn.IFNA(VLOOKUP(A20,'[1]REIT Infra List'!$A$2:$L$56,12,FALSE)/1000000,"n/a")</f>
        <v>6.0861762699999806</v>
      </c>
      <c r="H20" s="221">
        <f>_xlfn.IFNA(VLOOKUP(A20,[1]IRESS!$A$10:$F$875,5,FALSE),"n/a")</f>
        <v>24476760.703099992</v>
      </c>
      <c r="I20" s="222">
        <f>_xlfn.IFNA(VLOOKUP(A20,[1]IRESS!$A$11:$G$674,7,FALSE),"n/a")</f>
        <v>10874707</v>
      </c>
      <c r="J20" s="221">
        <f>_xlfn.IFNA(VLOOKUP(A20,[1]IRESS!$A$10:$F$875,4,FALSE),"n/a")</f>
        <v>13176</v>
      </c>
      <c r="K20" s="223">
        <f t="shared" si="0"/>
        <v>2.211188728243919E-2</v>
      </c>
      <c r="L20" s="224" t="e">
        <f>VLOOKUP(A20,[1]Spreads!$A$1:$G$87,7,FALSE)</f>
        <v>#N/A</v>
      </c>
      <c r="N20" s="225">
        <f>_xlfn.IFNA(VLOOKUP($A20,[1]IRESS!$A$11:$AE$696,6,FALSE)/100,"n/a")</f>
        <v>2.2400000000000002</v>
      </c>
      <c r="O20" s="32">
        <f>_xlfn.IFNA(VLOOKUP($A20,[1]IRESS!$A$11:$AE$696,21,FALSE)/100,"n/a")</f>
        <v>2.38</v>
      </c>
      <c r="P20" s="225">
        <f>_xlfn.IFNA(VLOOKUP($A20,[1]IRESS!$A$11:$AE$696,22,FALSE)/100,"n/a")</f>
        <v>2.02</v>
      </c>
      <c r="Q20" s="9"/>
      <c r="R20" s="35">
        <f>IFERROR((VLOOKUP($A20,[1]IRESS!$A$11:$AE$696,20,FALSE)/100)/N20,"n/a")</f>
        <v>7.2589285714285717E-2</v>
      </c>
      <c r="S20" s="226">
        <f>IFERROR(VLOOKUP($A20,[1]Morningstar!$A$2:$F$477,3,FALSE),"n/a")</f>
        <v>1.7999999999999999E-2</v>
      </c>
      <c r="T20" s="35">
        <f>IFERROR(VLOOKUP($A20,[1]Morningstar!$A$2:$F$477,4,FALSE),"n/a")</f>
        <v>4.7199999999999999E-2</v>
      </c>
      <c r="U20" s="226" t="str">
        <f>IFERROR(VLOOKUP($A20,[1]Morningstar!$A$2:$F$477,5,FALSE),"n/a")</f>
        <v>n/a</v>
      </c>
      <c r="V20" s="35" t="str">
        <f>IFERROR(VLOOKUP($A20,[1]Morningstar!$A$2:$F$477,6,FALSE),"n/a")</f>
        <v>n/a</v>
      </c>
    </row>
    <row r="21" spans="1:22">
      <c r="A21" s="21" t="s">
        <v>633</v>
      </c>
      <c r="B21" s="219" t="s">
        <v>529</v>
      </c>
      <c r="C21" s="46" t="str">
        <f>VLOOKUP(A21,'[1]REIT Infra List'!$A$2:$B$56,2,FALSE)</f>
        <v>Blackwall Limited</v>
      </c>
      <c r="D21" s="24"/>
      <c r="E21" s="9"/>
      <c r="F21" s="220">
        <f>_xlfn.IFNA(VLOOKUP(A21,'[1]REIT Infra List'!$A$2:$L$56,7,FALSE)/1000000,"n/a")</f>
        <v>57.988422749999998</v>
      </c>
      <c r="G21" s="26">
        <f>_xlfn.IFNA(VLOOKUP(A21,'[1]REIT Infra List'!$A$2:$L$56,12,FALSE)/1000000,"n/a")</f>
        <v>1.291364450000003</v>
      </c>
      <c r="H21" s="221">
        <f>_xlfn.IFNA(VLOOKUP(A21,[1]IRESS!$A$10:$F$875,5,FALSE),"n/a")</f>
        <v>141002.37500000003</v>
      </c>
      <c r="I21" s="222">
        <f>_xlfn.IFNA(VLOOKUP(A21,[1]IRESS!$A$11:$G$674,7,FALSE),"n/a")</f>
        <v>151464</v>
      </c>
      <c r="J21" s="221">
        <f>_xlfn.IFNA(VLOOKUP(A21,[1]IRESS!$A$10:$F$875,4,FALSE),"n/a")</f>
        <v>49</v>
      </c>
      <c r="K21" s="223">
        <f t="shared" si="0"/>
        <v>2.4315607894336119E-3</v>
      </c>
      <c r="L21" s="224" t="e">
        <f>VLOOKUP(A21,[1]Spreads!$A$1:$G$87,7,FALSE)</f>
        <v>#N/A</v>
      </c>
      <c r="N21" s="225">
        <f>_xlfn.IFNA(VLOOKUP($A21,[1]IRESS!$A$11:$AE$696,6,FALSE)/100,"n/a")</f>
        <v>0.95</v>
      </c>
      <c r="O21" s="32">
        <f>_xlfn.IFNA(VLOOKUP($A21,[1]IRESS!$A$11:$AE$696,21,FALSE)/100,"n/a")</f>
        <v>1.08</v>
      </c>
      <c r="P21" s="225">
        <f>_xlfn.IFNA(VLOOKUP($A21,[1]IRESS!$A$11:$AE$696,22,FALSE)/100,"n/a")</f>
        <v>0.81</v>
      </c>
      <c r="Q21" s="9"/>
      <c r="R21" s="35">
        <f>IFERROR((VLOOKUP($A21,[1]IRESS!$A$11:$AE$696,20,FALSE)/100)/N21,"n/a")</f>
        <v>3.894736842105264E-2</v>
      </c>
      <c r="S21" s="226">
        <f>IFERROR(VLOOKUP($A21,[1]Morningstar!$A$2:$F$477,3,FALSE),"n/a")</f>
        <v>2.1499999999999998E-2</v>
      </c>
      <c r="T21" s="35">
        <f>IFERROR(VLOOKUP($A21,[1]Morningstar!$A$2:$F$477,4,FALSE),"n/a")</f>
        <v>9.6799999999999997E-2</v>
      </c>
      <c r="U21" s="226">
        <f>IFERROR(VLOOKUP($A21,[1]Morningstar!$A$2:$F$477,5,FALSE),"n/a")</f>
        <v>0.49909999999999999</v>
      </c>
      <c r="V21" s="35">
        <f>IFERROR(VLOOKUP($A21,[1]Morningstar!$A$2:$F$477,6,FALSE),"n/a")</f>
        <v>0.56810000000000005</v>
      </c>
    </row>
    <row r="22" spans="1:22">
      <c r="A22" s="21" t="s">
        <v>634</v>
      </c>
      <c r="B22" s="219" t="s">
        <v>529</v>
      </c>
      <c r="C22" s="46" t="str">
        <f>VLOOKUP(A22,'[1]REIT Infra List'!$A$2:$B$56,2,FALSE)</f>
        <v>BWP Trust</v>
      </c>
      <c r="D22" s="24"/>
      <c r="E22" s="9"/>
      <c r="F22" s="220">
        <f>_xlfn.IFNA(VLOOKUP(A22,'[1]REIT Infra List'!$A$2:$L$56,7,FALSE)/1000000,"n/a")</f>
        <v>2087.7473597500002</v>
      </c>
      <c r="G22" s="26">
        <f>_xlfn.IFNA(VLOOKUP(A22,'[1]REIT Infra List'!$A$2:$L$56,12,FALSE)/1000000,"n/a")</f>
        <v>32.119190149999859</v>
      </c>
      <c r="H22" s="221">
        <f>_xlfn.IFNA(VLOOKUP(A22,[1]IRESS!$A$10:$F$875,5,FALSE),"n/a")</f>
        <v>124988172.91079997</v>
      </c>
      <c r="I22" s="222">
        <f>_xlfn.IFNA(VLOOKUP(A22,[1]IRESS!$A$11:$G$674,7,FALSE),"n/a")</f>
        <v>38450184</v>
      </c>
      <c r="J22" s="221">
        <f>_xlfn.IFNA(VLOOKUP(A22,[1]IRESS!$A$10:$F$875,4,FALSE),"n/a")</f>
        <v>45437</v>
      </c>
      <c r="K22" s="223">
        <f t="shared" si="0"/>
        <v>5.9867479811238668E-2</v>
      </c>
      <c r="L22" s="224" t="e">
        <f>VLOOKUP(A22,[1]Spreads!$A$1:$G$87,7,FALSE)</f>
        <v>#N/A</v>
      </c>
      <c r="N22" s="225">
        <f>_xlfn.IFNA(VLOOKUP($A22,[1]IRESS!$A$11:$AE$696,6,FALSE)/100,"n/a")</f>
        <v>3.25</v>
      </c>
      <c r="O22" s="32">
        <f>_xlfn.IFNA(VLOOKUP($A22,[1]IRESS!$A$11:$AE$696,21,FALSE)/100,"n/a")</f>
        <v>3.35</v>
      </c>
      <c r="P22" s="225">
        <f>_xlfn.IFNA(VLOOKUP($A22,[1]IRESS!$A$11:$AE$696,22,FALSE)/100,"n/a")</f>
        <v>2.82</v>
      </c>
      <c r="Q22" s="9"/>
      <c r="R22" s="35">
        <f>IFERROR((VLOOKUP($A22,[1]IRESS!$A$11:$AE$696,20,FALSE)/100)/N22,"n/a")</f>
        <v>5.4707692307692311E-2</v>
      </c>
      <c r="S22" s="226">
        <f>IFERROR(VLOOKUP($A22,[1]Morningstar!$A$2:$F$477,3,FALSE),"n/a")</f>
        <v>5.0200000000000002E-2</v>
      </c>
      <c r="T22" s="35">
        <f>IFERROR(VLOOKUP($A22,[1]Morningstar!$A$2:$F$477,4,FALSE),"n/a")</f>
        <v>0.1525</v>
      </c>
      <c r="U22" s="226">
        <f>IFERROR(VLOOKUP($A22,[1]Morningstar!$A$2:$F$477,5,FALSE),"n/a")</f>
        <v>7.6600000000000001E-2</v>
      </c>
      <c r="V22" s="35">
        <f>IFERROR(VLOOKUP($A22,[1]Morningstar!$A$2:$F$477,6,FALSE),"n/a")</f>
        <v>0.13900000000000001</v>
      </c>
    </row>
    <row r="23" spans="1:22">
      <c r="A23" s="21" t="s">
        <v>635</v>
      </c>
      <c r="B23" s="219" t="s">
        <v>529</v>
      </c>
      <c r="C23" s="46" t="str">
        <f>VLOOKUP(A23,'[1]REIT Infra List'!$A$2:$B$56,2,FALSE)</f>
        <v>Blackwall Property Trust</v>
      </c>
      <c r="D23" s="24"/>
      <c r="E23" s="9"/>
      <c r="F23" s="220">
        <f>_xlfn.IFNA(VLOOKUP(A23,'[1]REIT Infra List'!$A$2:$L$56,7,FALSE)/1000000,"n/a")</f>
        <v>96.62129809999999</v>
      </c>
      <c r="G23" s="26">
        <f>_xlfn.IFNA(VLOOKUP(A23,'[1]REIT Infra List'!$A$2:$L$56,12,FALSE)/1000000,"n/a")</f>
        <v>3.3317689000000059</v>
      </c>
      <c r="H23" s="221">
        <f>_xlfn.IFNA(VLOOKUP(A23,[1]IRESS!$A$10:$F$875,5,FALSE),"n/a")</f>
        <v>230483.79</v>
      </c>
      <c r="I23" s="222">
        <f>_xlfn.IFNA(VLOOKUP(A23,[1]IRESS!$A$11:$G$674,7,FALSE),"n/a")</f>
        <v>160875</v>
      </c>
      <c r="J23" s="221">
        <f>_xlfn.IFNA(VLOOKUP(A23,[1]IRESS!$A$10:$F$875,4,FALSE),"n/a")</f>
        <v>40</v>
      </c>
      <c r="K23" s="223">
        <f t="shared" si="0"/>
        <v>2.3854346249980677E-3</v>
      </c>
      <c r="L23" s="224" t="e">
        <f>VLOOKUP(A23,[1]Spreads!$A$1:$G$87,7,FALSE)</f>
        <v>#N/A</v>
      </c>
      <c r="N23" s="225">
        <f>_xlfn.IFNA(VLOOKUP($A23,[1]IRESS!$A$11:$AE$696,6,FALSE)/100,"n/a")</f>
        <v>1.45</v>
      </c>
      <c r="O23" s="32">
        <f>_xlfn.IFNA(VLOOKUP($A23,[1]IRESS!$A$11:$AE$696,21,FALSE)/100,"n/a")</f>
        <v>1.55</v>
      </c>
      <c r="P23" s="225">
        <f>_xlfn.IFNA(VLOOKUP($A23,[1]IRESS!$A$11:$AE$696,22,FALSE)/100,"n/a")</f>
        <v>1.23</v>
      </c>
      <c r="Q23" s="9"/>
      <c r="R23" s="35">
        <f>IFERROR((VLOOKUP($A23,[1]IRESS!$A$11:$AE$696,20,FALSE)/100)/N23,"n/a")</f>
        <v>7.9310344827586213E-2</v>
      </c>
      <c r="S23" s="226">
        <f>IFERROR(VLOOKUP($A23,[1]Morningstar!$A$2:$F$477,3,FALSE),"n/a")</f>
        <v>3.5700000000000003E-2</v>
      </c>
      <c r="T23" s="35">
        <f>IFERROR(VLOOKUP($A23,[1]Morningstar!$A$2:$F$477,4,FALSE),"n/a")</f>
        <v>0.21079999999999999</v>
      </c>
      <c r="U23" s="226">
        <f>IFERROR(VLOOKUP($A23,[1]Morningstar!$A$2:$F$477,5,FALSE),"n/a")</f>
        <v>0.1464</v>
      </c>
      <c r="V23" s="35">
        <f>IFERROR(VLOOKUP($A23,[1]Morningstar!$A$2:$F$477,6,FALSE),"n/a")</f>
        <v>0.1963</v>
      </c>
    </row>
    <row r="24" spans="1:22">
      <c r="A24" s="21" t="s">
        <v>636</v>
      </c>
      <c r="B24" s="219" t="s">
        <v>529</v>
      </c>
      <c r="C24" s="46" t="str">
        <f>VLOOKUP(A24,'[1]REIT Infra List'!$A$2:$B$56,2,FALSE)</f>
        <v>Carindale Property Trust</v>
      </c>
      <c r="D24" s="24"/>
      <c r="E24" s="9"/>
      <c r="F24" s="220">
        <f>_xlfn.IFNA(VLOOKUP(A24,'[1]REIT Infra List'!$A$2:$L$56,7,FALSE)/1000000,"n/a")</f>
        <v>570.5</v>
      </c>
      <c r="G24" s="26">
        <f>_xlfn.IFNA(VLOOKUP(A24,'[1]REIT Infra List'!$A$2:$L$56,12,FALSE)/1000000,"n/a")</f>
        <v>35</v>
      </c>
      <c r="H24" s="221">
        <f>_xlfn.IFNA(VLOOKUP(A24,[1]IRESS!$A$10:$F$875,5,FALSE),"n/a")</f>
        <v>5580358.5800000019</v>
      </c>
      <c r="I24" s="222">
        <f>_xlfn.IFNA(VLOOKUP(A24,[1]IRESS!$A$11:$G$674,7,FALSE),"n/a")</f>
        <v>707785</v>
      </c>
      <c r="J24" s="221">
        <f>_xlfn.IFNA(VLOOKUP(A24,[1]IRESS!$A$10:$F$875,4,FALSE),"n/a")</f>
        <v>700</v>
      </c>
      <c r="K24" s="223">
        <f t="shared" si="0"/>
        <v>9.7815224890447014E-3</v>
      </c>
      <c r="L24" s="224" t="e">
        <f>VLOOKUP(A24,[1]Spreads!$A$1:$G$87,7,FALSE)</f>
        <v>#N/A</v>
      </c>
      <c r="N24" s="225">
        <f>_xlfn.IFNA(VLOOKUP($A24,[1]IRESS!$A$11:$AE$696,6,FALSE)/100,"n/a")</f>
        <v>8.15</v>
      </c>
      <c r="O24" s="32">
        <f>_xlfn.IFNA(VLOOKUP($A24,[1]IRESS!$A$11:$AE$696,21,FALSE)/100,"n/a")</f>
        <v>8.39</v>
      </c>
      <c r="P24" s="225">
        <f>_xlfn.IFNA(VLOOKUP($A24,[1]IRESS!$A$11:$AE$696,22,FALSE)/100,"n/a")</f>
        <v>7.2</v>
      </c>
      <c r="Q24" s="9"/>
      <c r="R24" s="35">
        <f>IFERROR((VLOOKUP($A24,[1]IRESS!$A$11:$AE$696,20,FALSE)/100)/N24,"n/a")</f>
        <v>4.9325153374233127E-2</v>
      </c>
      <c r="S24" s="226">
        <f>IFERROR(VLOOKUP($A24,[1]Morningstar!$A$2:$F$477,3,FALSE),"n/a")</f>
        <v>0.1045</v>
      </c>
      <c r="T24" s="35">
        <f>IFERROR(VLOOKUP($A24,[1]Morningstar!$A$2:$F$477,4,FALSE),"n/a")</f>
        <v>0.1118</v>
      </c>
      <c r="U24" s="226">
        <f>IFERROR(VLOOKUP($A24,[1]Morningstar!$A$2:$F$477,5,FALSE),"n/a")</f>
        <v>0.13400000000000001</v>
      </c>
      <c r="V24" s="35">
        <f>IFERROR(VLOOKUP($A24,[1]Morningstar!$A$2:$F$477,6,FALSE),"n/a")</f>
        <v>0.1399</v>
      </c>
    </row>
    <row r="25" spans="1:22">
      <c r="A25" s="21" t="s">
        <v>637</v>
      </c>
      <c r="B25" s="219" t="s">
        <v>625</v>
      </c>
      <c r="C25" s="46" t="str">
        <f>VLOOKUP(A25,'[1]REIT Infra List'!$A$2:$B$56,2,FALSE)</f>
        <v>Charter Hall Group</v>
      </c>
      <c r="D25" s="24"/>
      <c r="E25" s="9"/>
      <c r="F25" s="220">
        <f>_xlfn.IFNA(VLOOKUP(A25,'[1]REIT Infra List'!$A$2:$L$56,7,FALSE)/1000000,"n/a")</f>
        <v>3036.8668941199999</v>
      </c>
      <c r="G25" s="26">
        <f>_xlfn.IFNA(VLOOKUP(A25,'[1]REIT Infra List'!$A$2:$L$56,12,FALSE)/1000000,"n/a")</f>
        <v>69.866569649999619</v>
      </c>
      <c r="H25" s="221">
        <f>_xlfn.IFNA(VLOOKUP(A25,[1]IRESS!$A$10:$F$875,5,FALSE),"n/a")</f>
        <v>238900793.01740003</v>
      </c>
      <c r="I25" s="222">
        <f>_xlfn.IFNA(VLOOKUP(A25,[1]IRESS!$A$11:$G$674,7,FALSE),"n/a")</f>
        <v>36950959</v>
      </c>
      <c r="J25" s="221">
        <f>_xlfn.IFNA(VLOOKUP(A25,[1]IRESS!$A$10:$F$875,4,FALSE),"n/a")</f>
        <v>78920</v>
      </c>
      <c r="K25" s="223">
        <f t="shared" si="0"/>
        <v>7.8666863364990139E-2</v>
      </c>
      <c r="L25" s="224" t="e">
        <f>VLOOKUP(A25,[1]Spreads!$A$1:$G$87,7,FALSE)</f>
        <v>#N/A</v>
      </c>
      <c r="N25" s="225">
        <f>_xlfn.IFNA(VLOOKUP($A25,[1]IRESS!$A$11:$AE$696,6,FALSE)/100,"n/a")</f>
        <v>6.52</v>
      </c>
      <c r="O25" s="32">
        <f>_xlfn.IFNA(VLOOKUP($A25,[1]IRESS!$A$11:$AE$696,21,FALSE)/100,"n/a")</f>
        <v>6.65</v>
      </c>
      <c r="P25" s="225">
        <f>_xlfn.IFNA(VLOOKUP($A25,[1]IRESS!$A$11:$AE$696,22,FALSE)/100,"n/a")</f>
        <v>5.16</v>
      </c>
      <c r="Q25" s="9"/>
      <c r="R25" s="35">
        <f>IFERROR((VLOOKUP($A25,[1]IRESS!$A$11:$AE$696,20,FALSE)/100)/N25,"n/a")</f>
        <v>4.8773006134969321E-2</v>
      </c>
      <c r="S25" s="226">
        <f>IFERROR(VLOOKUP($A25,[1]Morningstar!$A$2:$F$477,3,FALSE),"n/a")</f>
        <v>4.7100000000000003E-2</v>
      </c>
      <c r="T25" s="35">
        <f>IFERROR(VLOOKUP($A25,[1]Morningstar!$A$2:$F$477,4,FALSE),"n/a")</f>
        <v>0.2465</v>
      </c>
      <c r="U25" s="226">
        <f>IFERROR(VLOOKUP($A25,[1]Morningstar!$A$2:$F$477,5,FALSE),"n/a")</f>
        <v>0.19320000000000001</v>
      </c>
      <c r="V25" s="35">
        <f>IFERROR(VLOOKUP($A25,[1]Morningstar!$A$2:$F$477,6,FALSE),"n/a")</f>
        <v>0.1721</v>
      </c>
    </row>
    <row r="26" spans="1:22">
      <c r="A26" s="21" t="s">
        <v>638</v>
      </c>
      <c r="B26" s="219" t="s">
        <v>625</v>
      </c>
      <c r="C26" s="46" t="str">
        <f>VLOOKUP(A26,'[1]REIT Infra List'!$A$2:$B$56,2,FALSE)</f>
        <v>Centuria Industrial REIT</v>
      </c>
      <c r="D26" s="24"/>
      <c r="E26" s="9"/>
      <c r="F26" s="220">
        <f>_xlfn.IFNA(VLOOKUP(A26,'[1]REIT Infra List'!$A$2:$L$56,7,FALSE)/1000000,"n/a")</f>
        <v>638.27791662000004</v>
      </c>
      <c r="G26" s="26">
        <f>_xlfn.IFNA(VLOOKUP(A26,'[1]REIT Infra List'!$A$2:$L$56,12,FALSE)/1000000,"n/a")</f>
        <v>-2.4835716599999667</v>
      </c>
      <c r="H26" s="221">
        <f>_xlfn.IFNA(VLOOKUP(A26,[1]IRESS!$A$10:$F$875,5,FALSE),"n/a")</f>
        <v>10838760.549899999</v>
      </c>
      <c r="I26" s="222">
        <f>_xlfn.IFNA(VLOOKUP(A26,[1]IRESS!$A$11:$G$674,7,FALSE),"n/a")</f>
        <v>4187479</v>
      </c>
      <c r="J26" s="221">
        <f>_xlfn.IFNA(VLOOKUP(A26,[1]IRESS!$A$10:$F$875,4,FALSE),"n/a")</f>
        <v>10338</v>
      </c>
      <c r="K26" s="223">
        <f t="shared" si="0"/>
        <v>1.6981255762844882E-2</v>
      </c>
      <c r="L26" s="224" t="e">
        <f>VLOOKUP(A26,[1]Spreads!$A$1:$G$87,7,FALSE)</f>
        <v>#N/A</v>
      </c>
      <c r="N26" s="225">
        <f>_xlfn.IFNA(VLOOKUP($A26,[1]IRESS!$A$11:$AE$696,6,FALSE)/100,"n/a")</f>
        <v>2.57</v>
      </c>
      <c r="O26" s="32">
        <f>_xlfn.IFNA(VLOOKUP($A26,[1]IRESS!$A$11:$AE$696,21,FALSE)/100,"n/a")</f>
        <v>2.7</v>
      </c>
      <c r="P26" s="225">
        <f>_xlfn.IFNA(VLOOKUP($A26,[1]IRESS!$A$11:$AE$696,22,FALSE)/100,"n/a")</f>
        <v>2.39</v>
      </c>
      <c r="Q26" s="9"/>
      <c r="R26" s="35">
        <f>IFERROR((VLOOKUP($A26,[1]IRESS!$A$11:$AE$696,20,FALSE)/100)/N26,"n/a")</f>
        <v>7.5486381322957194E-2</v>
      </c>
      <c r="S26" s="226">
        <f>IFERROR(VLOOKUP($A26,[1]Morningstar!$A$2:$F$477,3,FALSE),"n/a")</f>
        <v>2.69E-2</v>
      </c>
      <c r="T26" s="35">
        <f>IFERROR(VLOOKUP($A26,[1]Morningstar!$A$2:$F$477,4,FALSE),"n/a")</f>
        <v>0.1231</v>
      </c>
      <c r="U26" s="226">
        <f>IFERROR(VLOOKUP($A26,[1]Morningstar!$A$2:$F$477,5,FALSE),"n/a")</f>
        <v>9.9900000000000003E-2</v>
      </c>
      <c r="V26" s="35">
        <f>IFERROR(VLOOKUP($A26,[1]Morningstar!$A$2:$F$477,6,FALSE),"n/a")</f>
        <v>0.49490000000000001</v>
      </c>
    </row>
    <row r="27" spans="1:22">
      <c r="A27" s="21" t="s">
        <v>639</v>
      </c>
      <c r="B27" s="219" t="s">
        <v>625</v>
      </c>
      <c r="C27" s="46" t="str">
        <f>VLOOKUP(A27,'[1]REIT Infra List'!$A$2:$B$56,2,FALSE)</f>
        <v>Charter Hall Long Wale REIT</v>
      </c>
      <c r="D27" s="24"/>
      <c r="E27" s="9"/>
      <c r="F27" s="220">
        <f>_xlfn.IFNA(VLOOKUP(A27,'[1]REIT Infra List'!$A$2:$L$56,7,FALSE)/1000000,"n/a")</f>
        <v>1022.1206248000001</v>
      </c>
      <c r="G27" s="26">
        <f>_xlfn.IFNA(VLOOKUP(A27,'[1]REIT Infra List'!$A$2:$L$56,12,FALSE)/1000000,"n/a")</f>
        <v>46.460028399999977</v>
      </c>
      <c r="H27" s="221">
        <f>_xlfn.IFNA(VLOOKUP(A27,[1]IRESS!$A$10:$F$875,5,FALSE),"n/a")</f>
        <v>67735661.582999974</v>
      </c>
      <c r="I27" s="222">
        <f>_xlfn.IFNA(VLOOKUP(A27,[1]IRESS!$A$11:$G$674,7,FALSE),"n/a")</f>
        <v>15581117</v>
      </c>
      <c r="J27" s="221">
        <f>_xlfn.IFNA(VLOOKUP(A27,[1]IRESS!$A$10:$F$875,4,FALSE),"n/a")</f>
        <v>29543</v>
      </c>
      <c r="K27" s="223">
        <f t="shared" si="0"/>
        <v>6.6269733668913991E-2</v>
      </c>
      <c r="L27" s="224" t="e">
        <f>VLOOKUP(A27,[1]Spreads!$A$1:$G$87,7,FALSE)</f>
        <v>#N/A</v>
      </c>
      <c r="N27" s="225">
        <f>_xlfn.IFNA(VLOOKUP($A27,[1]IRESS!$A$11:$AE$696,6,FALSE)/100,"n/a")</f>
        <v>4.4000000000000004</v>
      </c>
      <c r="O27" s="32">
        <f>_xlfn.IFNA(VLOOKUP($A27,[1]IRESS!$A$11:$AE$696,21,FALSE)/100,"n/a")</f>
        <v>4.5199999999999996</v>
      </c>
      <c r="P27" s="225">
        <f>_xlfn.IFNA(VLOOKUP($A27,[1]IRESS!$A$11:$AE$696,22,FALSE)/100,"n/a")</f>
        <v>3.7</v>
      </c>
      <c r="Q27" s="9"/>
      <c r="R27" s="35">
        <f>IFERROR((VLOOKUP($A27,[1]IRESS!$A$11:$AE$696,20,FALSE)/100)/N27,"n/a")</f>
        <v>5.9949772317301142E-2</v>
      </c>
      <c r="S27" s="226">
        <f>IFERROR(VLOOKUP($A27,[1]Morningstar!$A$2:$F$477,3,FALSE),"n/a")</f>
        <v>6.8900000000000003E-2</v>
      </c>
      <c r="T27" s="35">
        <f>IFERROR(VLOOKUP($A27,[1]Morningstar!$A$2:$F$477,4,FALSE),"n/a")</f>
        <v>0.13469999999999999</v>
      </c>
      <c r="U27" s="226" t="str">
        <f>IFERROR(VLOOKUP($A27,[1]Morningstar!$A$2:$F$477,5,FALSE),"n/a")</f>
        <v>n/a</v>
      </c>
      <c r="V27" s="35" t="str">
        <f>IFERROR(VLOOKUP($A27,[1]Morningstar!$A$2:$F$477,6,FALSE),"n/a")</f>
        <v>n/a</v>
      </c>
    </row>
    <row r="28" spans="1:22" ht="14.25" customHeight="1">
      <c r="A28" s="21" t="s">
        <v>640</v>
      </c>
      <c r="B28" s="219" t="s">
        <v>625</v>
      </c>
      <c r="C28" s="46" t="str">
        <f>VLOOKUP(A28,'[1]REIT Infra List'!$A$2:$B$56,2,FALSE)</f>
        <v>Centuria Metropolitan REIT</v>
      </c>
      <c r="D28" s="24"/>
      <c r="E28" s="9"/>
      <c r="F28" s="220">
        <f>_xlfn.IFNA(VLOOKUP(A28,'[1]REIT Infra List'!$A$2:$L$56,7,FALSE)/1000000,"n/a")</f>
        <v>602.12457167999992</v>
      </c>
      <c r="G28" s="26">
        <f>_xlfn.IFNA(VLOOKUP(A28,'[1]REIT Infra List'!$A$2:$L$56,12,FALSE)/1000000,"n/a")</f>
        <v>24.279216600000023</v>
      </c>
      <c r="H28" s="221">
        <f>_xlfn.IFNA(VLOOKUP(A28,[1]IRESS!$A$10:$F$875,5,FALSE),"n/a")</f>
        <v>6589821.0766999992</v>
      </c>
      <c r="I28" s="222">
        <f>_xlfn.IFNA(VLOOKUP(A28,[1]IRESS!$A$11:$G$674,7,FALSE),"n/a")</f>
        <v>2733722</v>
      </c>
      <c r="J28" s="221">
        <f>_xlfn.IFNA(VLOOKUP(A28,[1]IRESS!$A$10:$F$875,4,FALSE),"n/a")</f>
        <v>5236</v>
      </c>
      <c r="K28" s="223">
        <f t="shared" si="0"/>
        <v>1.0944281942046653E-2</v>
      </c>
      <c r="L28" s="224" t="e">
        <f>VLOOKUP(A28,[1]Spreads!$A$1:$G$87,7,FALSE)</f>
        <v>#N/A</v>
      </c>
      <c r="N28" s="225">
        <f>_xlfn.IFNA(VLOOKUP($A28,[1]IRESS!$A$11:$AE$696,6,FALSE)/100,"n/a")</f>
        <v>2.48</v>
      </c>
      <c r="O28" s="32">
        <f>_xlfn.IFNA(VLOOKUP($A28,[1]IRESS!$A$11:$AE$696,21,FALSE)/100,"n/a")</f>
        <v>2.4937500059604645</v>
      </c>
      <c r="P28" s="225">
        <f>_xlfn.IFNA(VLOOKUP($A28,[1]IRESS!$A$11:$AE$696,22,FALSE)/100,"n/a")</f>
        <v>2.2200000000000002</v>
      </c>
      <c r="Q28" s="9"/>
      <c r="R28" s="35">
        <f>IFERROR((VLOOKUP($A28,[1]IRESS!$A$11:$AE$696,20,FALSE)/100)/N28,"n/a")</f>
        <v>7.2938256091888878E-2</v>
      </c>
      <c r="S28" s="226">
        <f>IFERROR(VLOOKUP($A28,[1]Morningstar!$A$2:$F$477,3,FALSE),"n/a")</f>
        <v>7.0599999999999996E-2</v>
      </c>
      <c r="T28" s="35">
        <f>IFERROR(VLOOKUP($A28,[1]Morningstar!$A$2:$F$477,4,FALSE),"n/a")</f>
        <v>7.1300000000000002E-2</v>
      </c>
      <c r="U28" s="226">
        <f>IFERROR(VLOOKUP($A28,[1]Morningstar!$A$2:$F$477,5,FALSE),"n/a")</f>
        <v>0.1522</v>
      </c>
      <c r="V28" s="35" t="str">
        <f>IFERROR(VLOOKUP($A28,[1]Morningstar!$A$2:$F$477,6,FALSE),"n/a")</f>
        <v>n/a</v>
      </c>
    </row>
    <row r="29" spans="1:22" ht="14.25" customHeight="1">
      <c r="A29" s="21" t="s">
        <v>641</v>
      </c>
      <c r="B29" s="219" t="s">
        <v>625</v>
      </c>
      <c r="C29" s="46" t="str">
        <f>VLOOKUP(A29,'[1]REIT Infra List'!$A$2:$B$56,2,FALSE)</f>
        <v>Cromwell Property Group</v>
      </c>
      <c r="D29" s="24"/>
      <c r="E29" s="9"/>
      <c r="F29" s="220">
        <f>_xlfn.IFNA(VLOOKUP(A29,'[1]REIT Infra List'!$A$2:$L$56,7,FALSE)/1000000,"n/a")</f>
        <v>2223.5636348800003</v>
      </c>
      <c r="G29" s="26">
        <f>_xlfn.IFNA(VLOOKUP(A29,'[1]REIT Infra List'!$A$2:$L$56,12,FALSE)/1000000,"n/a")</f>
        <v>69.486363590000153</v>
      </c>
      <c r="H29" s="221">
        <f>_xlfn.IFNA(VLOOKUP(A29,[1]IRESS!$A$10:$F$875,5,FALSE),"n/a")</f>
        <v>117665557.70779999</v>
      </c>
      <c r="I29" s="222">
        <f>_xlfn.IFNA(VLOOKUP(A29,[1]IRESS!$A$11:$G$674,7,FALSE),"n/a")</f>
        <v>106073212</v>
      </c>
      <c r="J29" s="221">
        <f>_xlfn.IFNA(VLOOKUP(A29,[1]IRESS!$A$10:$F$875,4,FALSE),"n/a")</f>
        <v>33723</v>
      </c>
      <c r="K29" s="223">
        <f t="shared" si="0"/>
        <v>5.291755804153097E-2</v>
      </c>
      <c r="L29" s="224" t="e">
        <f>VLOOKUP(A29,[1]Spreads!$A$1:$G$87,7,FALSE)</f>
        <v>#N/A</v>
      </c>
      <c r="N29" s="225">
        <f>_xlfn.IFNA(VLOOKUP($A29,[1]IRESS!$A$11:$AE$696,6,FALSE)/100,"n/a")</f>
        <v>1.1200000000000001</v>
      </c>
      <c r="O29" s="32">
        <f>_xlfn.IFNA(VLOOKUP($A29,[1]IRESS!$A$11:$AE$696,21,FALSE)/100,"n/a")</f>
        <v>1.1375</v>
      </c>
      <c r="P29" s="225">
        <f>_xlfn.IFNA(VLOOKUP($A29,[1]IRESS!$A$11:$AE$696,22,FALSE)/100,"n/a")</f>
        <v>0.91500000000000004</v>
      </c>
      <c r="Q29" s="9"/>
      <c r="R29" s="35">
        <f>IFERROR((VLOOKUP($A29,[1]IRESS!$A$11:$AE$696,20,FALSE)/100)/N29,"n/a")</f>
        <v>7.4464285714285705E-2</v>
      </c>
      <c r="S29" s="226">
        <f>IFERROR(VLOOKUP($A29,[1]Morningstar!$A$2:$F$477,3,FALSE),"n/a")</f>
        <v>4.1799999999999997E-2</v>
      </c>
      <c r="T29" s="35">
        <f>IFERROR(VLOOKUP($A29,[1]Morningstar!$A$2:$F$477,4,FALSE),"n/a")</f>
        <v>0.27710000000000001</v>
      </c>
      <c r="U29" s="226">
        <f>IFERROR(VLOOKUP($A29,[1]Morningstar!$A$2:$F$477,5,FALSE),"n/a")</f>
        <v>0.1181</v>
      </c>
      <c r="V29" s="35">
        <f>IFERROR(VLOOKUP($A29,[1]Morningstar!$A$2:$F$477,6,FALSE),"n/a")</f>
        <v>0.1137</v>
      </c>
    </row>
    <row r="30" spans="1:22" ht="14.25" customHeight="1">
      <c r="A30" s="21" t="s">
        <v>642</v>
      </c>
      <c r="B30" s="219" t="s">
        <v>625</v>
      </c>
      <c r="C30" s="46" t="str">
        <f>VLOOKUP(A30,'[1]REIT Infra List'!$A$2:$B$56,2,FALSE)</f>
        <v>Convenience Retail REIT</v>
      </c>
      <c r="D30" s="24"/>
      <c r="E30" s="9"/>
      <c r="F30" s="220">
        <f>_xlfn.IFNA(VLOOKUP(A30,'[1]REIT Infra List'!$A$2:$L$56,7,FALSE)/1000000,"n/a")</f>
        <v>213.87333821000001</v>
      </c>
      <c r="G30" s="26">
        <f>_xlfn.IFNA(VLOOKUP(A30,'[1]REIT Infra List'!$A$2:$L$56,12,FALSE)/1000000,"n/a")</f>
        <v>0</v>
      </c>
      <c r="H30" s="221">
        <f>_xlfn.IFNA(VLOOKUP(A30,[1]IRESS!$A$10:$F$875,5,FALSE),"n/a")</f>
        <v>6129832.5999999987</v>
      </c>
      <c r="I30" s="222">
        <f>_xlfn.IFNA(VLOOKUP(A30,[1]IRESS!$A$11:$G$674,7,FALSE),"n/a")</f>
        <v>2241593</v>
      </c>
      <c r="J30" s="221">
        <f>_xlfn.IFNA(VLOOKUP(A30,[1]IRESS!$A$10:$F$875,4,FALSE),"n/a")</f>
        <v>1002</v>
      </c>
      <c r="K30" s="223">
        <f t="shared" si="0"/>
        <v>2.8661041396292136E-2</v>
      </c>
      <c r="L30" s="224" t="e">
        <f>VLOOKUP(A30,[1]Spreads!$A$1:$G$87,7,FALSE)</f>
        <v>#N/A</v>
      </c>
      <c r="N30" s="225">
        <f>_xlfn.IFNA(VLOOKUP($A30,[1]IRESS!$A$11:$AE$696,6,FALSE)/100,"n/a")</f>
        <v>2.71</v>
      </c>
      <c r="O30" s="32">
        <f>_xlfn.IFNA(VLOOKUP($A30,[1]IRESS!$A$11:$AE$696,21,FALSE)/100,"n/a")</f>
        <v>3.02</v>
      </c>
      <c r="P30" s="225">
        <f>_xlfn.IFNA(VLOOKUP($A30,[1]IRESS!$A$11:$AE$696,22,FALSE)/100,"n/a")</f>
        <v>2.59</v>
      </c>
      <c r="Q30" s="9"/>
      <c r="R30" s="35">
        <f>IFERROR((VLOOKUP($A30,[1]IRESS!$A$11:$AE$696,20,FALSE)/100)/N30,"n/a")</f>
        <v>6.6900369003690036E-2</v>
      </c>
      <c r="S30" s="226">
        <f>IFERROR(VLOOKUP($A30,[1]Morningstar!$A$2:$F$477,3,FALSE),"n/a")</f>
        <v>3.7600000000000001E-2</v>
      </c>
      <c r="T30" s="35" t="str">
        <f>IFERROR(VLOOKUP($A30,[1]Morningstar!$A$2:$F$477,4,FALSE),"n/a")</f>
        <v>n/a</v>
      </c>
      <c r="U30" s="226" t="str">
        <f>IFERROR(VLOOKUP($A30,[1]Morningstar!$A$2:$F$477,5,FALSE),"n/a")</f>
        <v>n/a</v>
      </c>
      <c r="V30" s="35" t="str">
        <f>IFERROR(VLOOKUP($A30,[1]Morningstar!$A$2:$F$477,6,FALSE),"n/a")</f>
        <v>n/a</v>
      </c>
    </row>
    <row r="31" spans="1:22" ht="14.25" customHeight="1">
      <c r="A31" s="21" t="s">
        <v>643</v>
      </c>
      <c r="B31" s="219" t="s">
        <v>529</v>
      </c>
      <c r="C31" s="46" t="str">
        <f>VLOOKUP(A31,'[1]REIT Infra List'!$A$2:$B$56,2,FALSE)</f>
        <v>Charter Hall Retail REIT</v>
      </c>
      <c r="D31" s="24"/>
      <c r="E31" s="9"/>
      <c r="F31" s="220">
        <f>_xlfn.IFNA(VLOOKUP(A31,'[1]REIT Infra List'!$A$2:$L$56,7,FALSE)/1000000,"n/a")</f>
        <v>1687.4533817600002</v>
      </c>
      <c r="G31" s="26">
        <f>_xlfn.IFNA(VLOOKUP(A31,'[1]REIT Infra List'!$A$2:$L$56,12,FALSE)/1000000,"n/a")</f>
        <v>-12.082005119999646</v>
      </c>
      <c r="H31" s="221">
        <f>_xlfn.IFNA(VLOOKUP(A31,[1]IRESS!$A$10:$F$875,5,FALSE),"n/a")</f>
        <v>125040752.68969996</v>
      </c>
      <c r="I31" s="222">
        <f>_xlfn.IFNA(VLOOKUP(A31,[1]IRESS!$A$11:$G$674,7,FALSE),"n/a")</f>
        <v>29319448</v>
      </c>
      <c r="J31" s="221">
        <f>_xlfn.IFNA(VLOOKUP(A31,[1]IRESS!$A$10:$F$875,4,FALSE),"n/a")</f>
        <v>45032</v>
      </c>
      <c r="K31" s="223">
        <f t="shared" si="0"/>
        <v>7.4100270882318228E-2</v>
      </c>
      <c r="L31" s="224" t="e">
        <f>VLOOKUP(A31,[1]Spreads!$A$1:$G$87,7,FALSE)</f>
        <v>#N/A</v>
      </c>
      <c r="N31" s="225">
        <f>_xlfn.IFNA(VLOOKUP($A31,[1]IRESS!$A$11:$AE$696,6,FALSE)/100,"n/a")</f>
        <v>4.1900000000000004</v>
      </c>
      <c r="O31" s="32">
        <f>_xlfn.IFNA(VLOOKUP($A31,[1]IRESS!$A$11:$AE$696,21,FALSE)/100,"n/a")</f>
        <v>4.41</v>
      </c>
      <c r="P31" s="225">
        <f>_xlfn.IFNA(VLOOKUP($A31,[1]IRESS!$A$11:$AE$696,22,FALSE)/100,"n/a")</f>
        <v>3.61</v>
      </c>
      <c r="Q31" s="9"/>
      <c r="R31" s="35">
        <f>IFERROR((VLOOKUP($A31,[1]IRESS!$A$11:$AE$696,20,FALSE)/100)/N31,"n/a")</f>
        <v>6.7303102625298317E-2</v>
      </c>
      <c r="S31" s="226">
        <f>IFERROR(VLOOKUP($A31,[1]Morningstar!$A$2:$F$477,3,FALSE),"n/a")</f>
        <v>1.66E-2</v>
      </c>
      <c r="T31" s="35">
        <f>IFERROR(VLOOKUP($A31,[1]Morningstar!$A$2:$F$477,4,FALSE),"n/a")</f>
        <v>0.1002</v>
      </c>
      <c r="U31" s="226">
        <f>IFERROR(VLOOKUP($A31,[1]Morningstar!$A$2:$F$477,5,FALSE),"n/a")</f>
        <v>6.3E-2</v>
      </c>
      <c r="V31" s="35">
        <f>IFERROR(VLOOKUP($A31,[1]Morningstar!$A$2:$F$477,6,FALSE),"n/a")</f>
        <v>8.9099999999999999E-2</v>
      </c>
    </row>
    <row r="32" spans="1:22" ht="14.25" customHeight="1">
      <c r="A32" s="21" t="s">
        <v>644</v>
      </c>
      <c r="B32" s="219" t="s">
        <v>625</v>
      </c>
      <c r="C32" s="46" t="str">
        <f>VLOOKUP(A32,'[1]REIT Infra List'!$A$2:$B$56,2,FALSE)</f>
        <v>Dexus</v>
      </c>
      <c r="D32" s="24"/>
      <c r="E32" s="9"/>
      <c r="F32" s="220">
        <f>_xlfn.IFNA(VLOOKUP(A32,'[1]REIT Infra List'!$A$2:$L$56,7,FALSE)/1000000,"n/a")</f>
        <v>9876.9816756700002</v>
      </c>
      <c r="G32" s="26">
        <f>_xlfn.IFNA(VLOOKUP(A32,'[1]REIT Infra List'!$A$2:$L$56,12,FALSE)/1000000,"n/a")</f>
        <v>-183.0954378600006</v>
      </c>
      <c r="H32" s="221">
        <f>_xlfn.IFNA(VLOOKUP(A32,[1]IRESS!$A$10:$F$875,5,FALSE),"n/a")</f>
        <v>728986452.47989988</v>
      </c>
      <c r="I32" s="222">
        <f>_xlfn.IFNA(VLOOKUP(A32,[1]IRESS!$A$11:$G$674,7,FALSE),"n/a")</f>
        <v>74414878</v>
      </c>
      <c r="J32" s="221">
        <f>_xlfn.IFNA(VLOOKUP(A32,[1]IRESS!$A$10:$F$875,4,FALSE),"n/a")</f>
        <v>149711</v>
      </c>
      <c r="K32" s="223">
        <f t="shared" si="0"/>
        <v>7.3806601694484719E-2</v>
      </c>
      <c r="L32" s="224" t="e">
        <f>VLOOKUP(A32,[1]Spreads!$A$1:$G$87,7,FALSE)</f>
        <v>#N/A</v>
      </c>
      <c r="N32" s="225">
        <f>_xlfn.IFNA(VLOOKUP($A32,[1]IRESS!$A$11:$AE$696,6,FALSE)/100,"n/a")</f>
        <v>9.7100000000000009</v>
      </c>
      <c r="O32" s="32">
        <f>_xlfn.IFNA(VLOOKUP($A32,[1]IRESS!$A$11:$AE$696,21,FALSE)/100,"n/a")</f>
        <v>10.74</v>
      </c>
      <c r="P32" s="225">
        <f>_xlfn.IFNA(VLOOKUP($A32,[1]IRESS!$A$11:$AE$696,22,FALSE)/100,"n/a")</f>
        <v>8.9849999999999994</v>
      </c>
      <c r="Q32" s="9"/>
      <c r="R32" s="35">
        <f>IFERROR((VLOOKUP($A32,[1]IRESS!$A$11:$AE$696,20,FALSE)/100)/N32,"n/a")</f>
        <v>4.9227600411946439E-2</v>
      </c>
      <c r="S32" s="226">
        <f>IFERROR(VLOOKUP($A32,[1]Morningstar!$A$2:$F$477,3,FALSE),"n/a")</f>
        <v>9.1000000000000004E-3</v>
      </c>
      <c r="T32" s="35">
        <f>IFERROR(VLOOKUP($A32,[1]Morningstar!$A$2:$F$477,4,FALSE),"n/a")</f>
        <v>7.5200000000000003E-2</v>
      </c>
      <c r="U32" s="226">
        <f>IFERROR(VLOOKUP($A32,[1]Morningstar!$A$2:$F$477,5,FALSE),"n/a")</f>
        <v>0.1555</v>
      </c>
      <c r="V32" s="35">
        <f>IFERROR(VLOOKUP($A32,[1]Morningstar!$A$2:$F$477,6,FALSE),"n/a")</f>
        <v>0.14499999999999999</v>
      </c>
    </row>
    <row r="33" spans="1:22" ht="14.25" customHeight="1">
      <c r="A33" s="21" t="s">
        <v>645</v>
      </c>
      <c r="B33" s="219" t="s">
        <v>625</v>
      </c>
      <c r="C33" s="46" t="str">
        <f>VLOOKUP(A33,'[1]REIT Infra List'!$A$2:$B$56,2,FALSE)</f>
        <v>Elanor Retail Property Fund</v>
      </c>
      <c r="D33" s="24"/>
      <c r="E33" s="9"/>
      <c r="F33" s="220">
        <f>_xlfn.IFNA(VLOOKUP(A33,'[1]REIT Infra List'!$A$2:$L$56,7,FALSE)/1000000,"n/a")</f>
        <v>160.91219375</v>
      </c>
      <c r="G33" s="26">
        <f>_xlfn.IFNA(VLOOKUP(A33,'[1]REIT Infra List'!$A$2:$L$56,12,FALSE)/1000000,"n/a")</f>
        <v>-6.4364877500000004</v>
      </c>
      <c r="H33" s="221">
        <f>_xlfn.IFNA(VLOOKUP(A33,[1]IRESS!$A$10:$F$875,5,FALSE),"n/a")</f>
        <v>562075.53499999992</v>
      </c>
      <c r="I33" s="222">
        <f>_xlfn.IFNA(VLOOKUP(A33,[1]IRESS!$A$11:$G$674,7,FALSE),"n/a")</f>
        <v>438641</v>
      </c>
      <c r="J33" s="221">
        <f>_xlfn.IFNA(VLOOKUP(A33,[1]IRESS!$A$10:$F$875,4,FALSE),"n/a")</f>
        <v>96</v>
      </c>
      <c r="K33" s="223">
        <f t="shared" si="0"/>
        <v>3.4930574364877794E-3</v>
      </c>
      <c r="L33" s="224" t="e">
        <f>VLOOKUP(A33,[1]Spreads!$A$1:$G$87,7,FALSE)</f>
        <v>#N/A</v>
      </c>
      <c r="N33" s="225">
        <f>_xlfn.IFNA(VLOOKUP($A33,[1]IRESS!$A$11:$AE$696,6,FALSE)/100,"n/a")</f>
        <v>1.29</v>
      </c>
      <c r="O33" s="32">
        <f>_xlfn.IFNA(VLOOKUP($A33,[1]IRESS!$A$11:$AE$696,21,FALSE)/100,"n/a")</f>
        <v>1.385</v>
      </c>
      <c r="P33" s="225">
        <f>_xlfn.IFNA(VLOOKUP($A33,[1]IRESS!$A$11:$AE$696,22,FALSE)/100,"n/a")</f>
        <v>1.2350000000000001</v>
      </c>
      <c r="Q33" s="9"/>
      <c r="R33" s="35">
        <f>IFERROR((VLOOKUP($A33,[1]IRESS!$A$11:$AE$696,20,FALSE)/100)/N33,"n/a")</f>
        <v>7.9927906976744192E-2</v>
      </c>
      <c r="S33" s="226">
        <f>IFERROR(VLOOKUP($A33,[1]Morningstar!$A$2:$F$477,3,FALSE),"n/a")</f>
        <v>3.2099999999999997E-2</v>
      </c>
      <c r="T33" s="35">
        <f>IFERROR(VLOOKUP($A33,[1]Morningstar!$A$2:$F$477,4,FALSE),"n/a")</f>
        <v>1.6899999999999998E-2</v>
      </c>
      <c r="U33" s="226" t="str">
        <f>IFERROR(VLOOKUP($A33,[1]Morningstar!$A$2:$F$477,5,FALSE),"n/a")</f>
        <v>n/a</v>
      </c>
      <c r="V33" s="35" t="str">
        <f>IFERROR(VLOOKUP($A33,[1]Morningstar!$A$2:$F$477,6,FALSE),"n/a")</f>
        <v>n/a</v>
      </c>
    </row>
    <row r="34" spans="1:22">
      <c r="A34" s="21" t="s">
        <v>646</v>
      </c>
      <c r="B34" s="219" t="s">
        <v>529</v>
      </c>
      <c r="C34" s="46" t="str">
        <f>VLOOKUP(A34,'[1]REIT Infra List'!$A$2:$B$56,2,FALSE)</f>
        <v>Folkestone Education Trust</v>
      </c>
      <c r="D34" s="24"/>
      <c r="E34" s="9"/>
      <c r="F34" s="220">
        <f>_xlfn.IFNA(VLOOKUP(A34,'[1]REIT Infra List'!$A$2:$L$56,7,FALSE)/1000000,"n/a")</f>
        <v>687.97754984000005</v>
      </c>
      <c r="G34" s="26">
        <f>_xlfn.IFNA(VLOOKUP(A34,'[1]REIT Infra List'!$A$2:$L$56,12,FALSE)/1000000,"n/a")</f>
        <v>15.345224160000086</v>
      </c>
      <c r="H34" s="221">
        <f>_xlfn.IFNA(VLOOKUP(A34,[1]IRESS!$A$10:$F$875,5,FALSE),"n/a")</f>
        <v>31398124.314399999</v>
      </c>
      <c r="I34" s="222">
        <f>_xlfn.IFNA(VLOOKUP(A34,[1]IRESS!$A$11:$G$674,7,FALSE),"n/a")</f>
        <v>11659754</v>
      </c>
      <c r="J34" s="221">
        <f>_xlfn.IFNA(VLOOKUP(A34,[1]IRESS!$A$10:$F$875,4,FALSE),"n/a")</f>
        <v>29362</v>
      </c>
      <c r="K34" s="223">
        <f t="shared" si="0"/>
        <v>4.563829782193056E-2</v>
      </c>
      <c r="L34" s="224" t="e">
        <f>VLOOKUP(A34,[1]Spreads!$A$1:$G$87,7,FALSE)</f>
        <v>#N/A</v>
      </c>
      <c r="N34" s="225">
        <f>_xlfn.IFNA(VLOOKUP($A34,[1]IRESS!$A$11:$AE$696,6,FALSE)/100,"n/a")</f>
        <v>2.69</v>
      </c>
      <c r="O34" s="32">
        <f>_xlfn.IFNA(VLOOKUP($A34,[1]IRESS!$A$11:$AE$696,21,FALSE)/100,"n/a")</f>
        <v>3</v>
      </c>
      <c r="P34" s="225">
        <f>_xlfn.IFNA(VLOOKUP($A34,[1]IRESS!$A$11:$AE$696,22,FALSE)/100,"n/a")</f>
        <v>2.5</v>
      </c>
      <c r="Q34" s="9"/>
      <c r="R34" s="35">
        <f>IFERROR((VLOOKUP($A34,[1]IRESS!$A$11:$AE$696,20,FALSE)/100)/N34,"n/a")</f>
        <v>5.6133828996282525E-2</v>
      </c>
      <c r="S34" s="226">
        <f>IFERROR(VLOOKUP($A34,[1]Morningstar!$A$2:$F$477,3,FALSE),"n/a")</f>
        <v>1.04E-2</v>
      </c>
      <c r="T34" s="35">
        <f>IFERROR(VLOOKUP($A34,[1]Morningstar!$A$2:$F$477,4,FALSE),"n/a")</f>
        <v>1.7899999999999999E-2</v>
      </c>
      <c r="U34" s="226">
        <f>IFERROR(VLOOKUP($A34,[1]Morningstar!$A$2:$F$477,5,FALSE),"n/a")</f>
        <v>0.14749999999999999</v>
      </c>
      <c r="V34" s="35">
        <f>IFERROR(VLOOKUP($A34,[1]Morningstar!$A$2:$F$477,6,FALSE),"n/a")</f>
        <v>0.21279999999999999</v>
      </c>
    </row>
    <row r="35" spans="1:22">
      <c r="A35" s="21" t="s">
        <v>647</v>
      </c>
      <c r="B35" s="219" t="s">
        <v>529</v>
      </c>
      <c r="C35" s="46" t="str">
        <f>VLOOKUP(A35,'[1]REIT Infra List'!$A$2:$B$56,2,FALSE)</f>
        <v>Garda Diversified Property Fund</v>
      </c>
      <c r="D35" s="24"/>
      <c r="E35" s="9"/>
      <c r="F35" s="220">
        <f>_xlfn.IFNA(VLOOKUP(A35,'[1]REIT Infra List'!$A$2:$L$56,7,FALSE)/1000000,"n/a")</f>
        <v>161.28795201</v>
      </c>
      <c r="G35" s="26">
        <f>_xlfn.IFNA(VLOOKUP(A35,'[1]REIT Infra List'!$A$2:$L$56,12,FALSE)/1000000,"n/a")</f>
        <v>-3.4611148499999942</v>
      </c>
      <c r="H35" s="221">
        <f>_xlfn.IFNA(VLOOKUP(A35,[1]IRESS!$A$10:$F$875,5,FALSE),"n/a")</f>
        <v>1236069.8950000003</v>
      </c>
      <c r="I35" s="222">
        <f>_xlfn.IFNA(VLOOKUP(A35,[1]IRESS!$A$11:$G$674,7,FALSE),"n/a")</f>
        <v>1042374</v>
      </c>
      <c r="J35" s="221">
        <f>_xlfn.IFNA(VLOOKUP(A35,[1]IRESS!$A$10:$F$875,4,FALSE),"n/a")</f>
        <v>316</v>
      </c>
      <c r="K35" s="223">
        <f t="shared" si="0"/>
        <v>7.6637459871978708E-3</v>
      </c>
      <c r="L35" s="224" t="e">
        <f>VLOOKUP(A35,[1]Spreads!$A$1:$G$87,7,FALSE)</f>
        <v>#N/A</v>
      </c>
      <c r="N35" s="225">
        <f>_xlfn.IFNA(VLOOKUP($A35,[1]IRESS!$A$11:$AE$696,6,FALSE)/100,"n/a")</f>
        <v>1.165</v>
      </c>
      <c r="O35" s="32">
        <f>_xlfn.IFNA(VLOOKUP($A35,[1]IRESS!$A$11:$AE$696,21,FALSE)/100,"n/a")</f>
        <v>1.2549999999999999</v>
      </c>
      <c r="P35" s="225">
        <f>_xlfn.IFNA(VLOOKUP($A35,[1]IRESS!$A$11:$AE$696,22,FALSE)/100,"n/a")</f>
        <v>1.1100000000000001</v>
      </c>
      <c r="Q35" s="9"/>
      <c r="R35" s="35">
        <f>IFERROR((VLOOKUP($A35,[1]IRESS!$A$11:$AE$696,20,FALSE)/100)/N35,"n/a")</f>
        <v>7.7170171706973226E-2</v>
      </c>
      <c r="S35" s="226">
        <f>IFERROR(VLOOKUP($A35,[1]Morningstar!$A$2:$F$477,3,FALSE),"n/a")</f>
        <v>1.03E-2</v>
      </c>
      <c r="T35" s="35">
        <f>IFERROR(VLOOKUP($A35,[1]Morningstar!$A$2:$F$477,4,FALSE),"n/a")</f>
        <v>0.1227</v>
      </c>
      <c r="U35" s="226" t="str">
        <f>IFERROR(VLOOKUP($A35,[1]Morningstar!$A$2:$F$477,5,FALSE),"n/a")</f>
        <v>n/a</v>
      </c>
      <c r="V35" s="35" t="str">
        <f>IFERROR(VLOOKUP($A35,[1]Morningstar!$A$2:$F$477,6,FALSE),"n/a")</f>
        <v>n/a</v>
      </c>
    </row>
    <row r="36" spans="1:22">
      <c r="A36" s="21" t="s">
        <v>648</v>
      </c>
      <c r="B36" s="219" t="s">
        <v>625</v>
      </c>
      <c r="C36" s="46" t="str">
        <f>VLOOKUP(A36,'[1]REIT Infra List'!$A$2:$B$56,2,FALSE)</f>
        <v>GDI Property Group</v>
      </c>
      <c r="D36" s="24"/>
      <c r="E36" s="9"/>
      <c r="F36" s="220">
        <f>_xlfn.IFNA(VLOOKUP(A36,'[1]REIT Infra List'!$A$2:$L$56,7,FALSE)/1000000,"n/a")</f>
        <v>692.29836083999999</v>
      </c>
      <c r="G36" s="26">
        <f>_xlfn.IFNA(VLOOKUP(A36,'[1]REIT Infra List'!$A$2:$L$56,12,FALSE)/1000000,"n/a")</f>
        <v>-13.416634899999977</v>
      </c>
      <c r="H36" s="221">
        <f>_xlfn.IFNA(VLOOKUP(A36,[1]IRESS!$A$10:$F$875,5,FALSE),"n/a")</f>
        <v>22150719.407700002</v>
      </c>
      <c r="I36" s="222">
        <f>_xlfn.IFNA(VLOOKUP(A36,[1]IRESS!$A$11:$G$674,7,FALSE),"n/a")</f>
        <v>17084240</v>
      </c>
      <c r="J36" s="221">
        <f>_xlfn.IFNA(VLOOKUP(A36,[1]IRESS!$A$10:$F$875,4,FALSE),"n/a")</f>
        <v>23676</v>
      </c>
      <c r="K36" s="223">
        <f t="shared" si="0"/>
        <v>3.1995914855010535E-2</v>
      </c>
      <c r="L36" s="224" t="e">
        <f>VLOOKUP(A36,[1]Spreads!$A$1:$G$87,7,FALSE)</f>
        <v>#N/A</v>
      </c>
      <c r="N36" s="225">
        <f>_xlfn.IFNA(VLOOKUP($A36,[1]IRESS!$A$11:$AE$696,6,FALSE)/100,"n/a")</f>
        <v>1.29</v>
      </c>
      <c r="O36" s="32">
        <f>_xlfn.IFNA(VLOOKUP($A36,[1]IRESS!$A$11:$AE$696,21,FALSE)/100,"n/a")</f>
        <v>1.335</v>
      </c>
      <c r="P36" s="225">
        <f>_xlfn.IFNA(VLOOKUP($A36,[1]IRESS!$A$11:$AE$696,22,FALSE)/100,"n/a")</f>
        <v>0.99</v>
      </c>
      <c r="Q36" s="9"/>
      <c r="R36" s="35">
        <f>IFERROR((VLOOKUP($A36,[1]IRESS!$A$11:$AE$696,20,FALSE)/100)/N36,"n/a")</f>
        <v>6.0077519379844957E-2</v>
      </c>
      <c r="S36" s="226">
        <f>IFERROR(VLOOKUP($A36,[1]Morningstar!$A$2:$F$477,3,FALSE),"n/a")</f>
        <v>3.0099999999999998E-2</v>
      </c>
      <c r="T36" s="35">
        <f>IFERROR(VLOOKUP($A36,[1]Morningstar!$A$2:$F$477,4,FALSE),"n/a")</f>
        <v>0.3367</v>
      </c>
      <c r="U36" s="226">
        <f>IFERROR(VLOOKUP($A36,[1]Morningstar!$A$2:$F$477,5,FALSE),"n/a")</f>
        <v>0.20860000000000001</v>
      </c>
      <c r="V36" s="35" t="str">
        <f>IFERROR(VLOOKUP($A36,[1]Morningstar!$A$2:$F$477,6,FALSE),"n/a")</f>
        <v>n/a</v>
      </c>
    </row>
    <row r="37" spans="1:22">
      <c r="A37" s="21" t="s">
        <v>649</v>
      </c>
      <c r="B37" s="219" t="s">
        <v>625</v>
      </c>
      <c r="C37" s="46" t="str">
        <f>VLOOKUP(A37,'[1]REIT Infra List'!$A$2:$B$56,2,FALSE)</f>
        <v>Goodman Group</v>
      </c>
      <c r="D37" s="24"/>
      <c r="E37" s="9"/>
      <c r="F37" s="220">
        <f>_xlfn.IFNA(VLOOKUP(A37,'[1]REIT Infra List'!$A$2:$L$56,7,FALSE)/1000000,"n/a")</f>
        <v>17323.348496739996</v>
      </c>
      <c r="G37" s="26">
        <f>_xlfn.IFNA(VLOOKUP(A37,'[1]REIT Infra List'!$A$2:$L$56,12,FALSE)/1000000,"n/a")</f>
        <v>504.21388555999755</v>
      </c>
      <c r="H37" s="221">
        <f>_xlfn.IFNA(VLOOKUP(A37,[1]IRESS!$A$10:$F$875,5,FALSE),"n/a")</f>
        <v>1174111481.4293516</v>
      </c>
      <c r="I37" s="222">
        <f>_xlfn.IFNA(VLOOKUP(A37,[1]IRESS!$A$11:$G$674,7,FALSE),"n/a")</f>
        <v>121927259</v>
      </c>
      <c r="J37" s="221">
        <f>_xlfn.IFNA(VLOOKUP(A37,[1]IRESS!$A$10:$F$875,4,FALSE),"n/a")</f>
        <v>189071</v>
      </c>
      <c r="K37" s="223">
        <f t="shared" si="0"/>
        <v>6.7776243239019429E-2</v>
      </c>
      <c r="L37" s="224" t="e">
        <f>VLOOKUP(A37,[1]Spreads!$A$1:$G$87,7,FALSE)</f>
        <v>#N/A</v>
      </c>
      <c r="N37" s="225">
        <f>_xlfn.IFNA(VLOOKUP($A37,[1]IRESS!$A$11:$AE$696,6,FALSE)/100,"n/a")</f>
        <v>9.6199999999999992</v>
      </c>
      <c r="O37" s="32">
        <f>_xlfn.IFNA(VLOOKUP($A37,[1]IRESS!$A$11:$AE$696,21,FALSE)/100,"n/a")</f>
        <v>10</v>
      </c>
      <c r="P37" s="225">
        <f>_xlfn.IFNA(VLOOKUP($A37,[1]IRESS!$A$11:$AE$696,22,FALSE)/100,"n/a")</f>
        <v>7.47</v>
      </c>
      <c r="Q37" s="9"/>
      <c r="R37" s="35">
        <f>IFERROR((VLOOKUP($A37,[1]IRESS!$A$11:$AE$696,20,FALSE)/100)/N37,"n/a")</f>
        <v>2.9106029106029111E-2</v>
      </c>
      <c r="S37" s="226">
        <f>IFERROR(VLOOKUP($A37,[1]Morningstar!$A$2:$F$477,3,FALSE),"n/a")</f>
        <v>5.0599999999999999E-2</v>
      </c>
      <c r="T37" s="35">
        <f>IFERROR(VLOOKUP($A37,[1]Morningstar!$A$2:$F$477,4,FALSE),"n/a")</f>
        <v>0.26079999999999998</v>
      </c>
      <c r="U37" s="226">
        <f>IFERROR(VLOOKUP($A37,[1]Morningstar!$A$2:$F$477,5,FALSE),"n/a")</f>
        <v>0.19289999999999999</v>
      </c>
      <c r="V37" s="35">
        <f>IFERROR(VLOOKUP($A37,[1]Morningstar!$A$2:$F$477,6,FALSE),"n/a")</f>
        <v>0.18740000000000001</v>
      </c>
    </row>
    <row r="38" spans="1:22">
      <c r="A38" s="21" t="s">
        <v>650</v>
      </c>
      <c r="B38" s="219" t="s">
        <v>625</v>
      </c>
      <c r="C38" s="46" t="str">
        <f>VLOOKUP(A38,'[1]REIT Infra List'!$A$2:$B$56,2,FALSE)</f>
        <v>Growthpoint Properties Australia</v>
      </c>
      <c r="D38" s="24"/>
      <c r="E38" s="9"/>
      <c r="F38" s="220">
        <f>_xlfn.IFNA(VLOOKUP(A38,'[1]REIT Infra List'!$A$2:$L$56,7,FALSE)/1000000,"n/a")</f>
        <v>2438.13756848</v>
      </c>
      <c r="G38" s="26">
        <f>_xlfn.IFNA(VLOOKUP(A38,'[1]REIT Infra List'!$A$2:$L$56,12,FALSE)/1000000,"n/a")</f>
        <v>40.523062079999924</v>
      </c>
      <c r="H38" s="221">
        <f>_xlfn.IFNA(VLOOKUP(A38,[1]IRESS!$A$10:$F$875,5,FALSE),"n/a")</f>
        <v>60387732.641399994</v>
      </c>
      <c r="I38" s="222">
        <f>_xlfn.IFNA(VLOOKUP(A38,[1]IRESS!$A$11:$G$674,7,FALSE),"n/a")</f>
        <v>16674470</v>
      </c>
      <c r="J38" s="221">
        <f>_xlfn.IFNA(VLOOKUP(A38,[1]IRESS!$A$10:$F$875,4,FALSE),"n/a")</f>
        <v>31608</v>
      </c>
      <c r="K38" s="223">
        <f t="shared" si="0"/>
        <v>2.4767975942820698E-2</v>
      </c>
      <c r="L38" s="224" t="e">
        <f>VLOOKUP(A38,[1]Spreads!$A$1:$G$87,7,FALSE)</f>
        <v>#N/A</v>
      </c>
      <c r="N38" s="225">
        <f>_xlfn.IFNA(VLOOKUP($A38,[1]IRESS!$A$11:$AE$696,6,FALSE)/100,"n/a")</f>
        <v>3.61</v>
      </c>
      <c r="O38" s="32">
        <f>_xlfn.IFNA(VLOOKUP($A38,[1]IRESS!$A$11:$AE$696,21,FALSE)/100,"n/a")</f>
        <v>3.73</v>
      </c>
      <c r="P38" s="225">
        <f>_xlfn.IFNA(VLOOKUP($A38,[1]IRESS!$A$11:$AE$696,22,FALSE)/100,"n/a")</f>
        <v>3.07</v>
      </c>
      <c r="Q38" s="9"/>
      <c r="R38" s="35">
        <f>IFERROR((VLOOKUP($A38,[1]IRESS!$A$11:$AE$696,20,FALSE)/100)/N38,"n/a")</f>
        <v>6.1495844875346262E-2</v>
      </c>
      <c r="S38" s="226">
        <f>IFERROR(VLOOKUP($A38,[1]Morningstar!$A$2:$F$477,3,FALSE),"n/a")</f>
        <v>4.8500000000000001E-2</v>
      </c>
      <c r="T38" s="35">
        <f>IFERROR(VLOOKUP($A38,[1]Morningstar!$A$2:$F$477,4,FALSE),"n/a")</f>
        <v>0.22370000000000001</v>
      </c>
      <c r="U38" s="226">
        <f>IFERROR(VLOOKUP($A38,[1]Morningstar!$A$2:$F$477,5,FALSE),"n/a")</f>
        <v>0.1183</v>
      </c>
      <c r="V38" s="35">
        <f>IFERROR(VLOOKUP($A38,[1]Morningstar!$A$2:$F$477,6,FALSE),"n/a")</f>
        <v>0.16259999999999999</v>
      </c>
    </row>
    <row r="39" spans="1:22">
      <c r="A39" s="21" t="s">
        <v>651</v>
      </c>
      <c r="B39" s="219" t="s">
        <v>625</v>
      </c>
      <c r="C39" s="46" t="str">
        <f>VLOOKUP(A39,'[1]REIT Infra List'!$A$2:$B$56,2,FALSE)</f>
        <v>GPT Group</v>
      </c>
      <c r="D39" s="24"/>
      <c r="E39" s="9"/>
      <c r="F39" s="220">
        <f>_xlfn.IFNA(VLOOKUP(A39,'[1]REIT Infra List'!$A$2:$L$56,7,FALSE)/1000000,"n/a")</f>
        <v>9132.745555559999</v>
      </c>
      <c r="G39" s="26">
        <f>_xlfn.IFNA(VLOOKUP(A39,'[1]REIT Infra List'!$A$2:$L$56,12,FALSE)/1000000,"n/a")</f>
        <v>54.146712779998779</v>
      </c>
      <c r="H39" s="221">
        <f>_xlfn.IFNA(VLOOKUP(A39,[1]IRESS!$A$10:$F$875,5,FALSE),"n/a")</f>
        <v>632508455.62029994</v>
      </c>
      <c r="I39" s="222">
        <f>_xlfn.IFNA(VLOOKUP(A39,[1]IRESS!$A$11:$G$674,7,FALSE),"n/a")</f>
        <v>124676794</v>
      </c>
      <c r="J39" s="221">
        <f>_xlfn.IFNA(VLOOKUP(A39,[1]IRESS!$A$10:$F$875,4,FALSE),"n/a")</f>
        <v>100224</v>
      </c>
      <c r="K39" s="223">
        <f t="shared" si="0"/>
        <v>6.9257207678936145E-2</v>
      </c>
      <c r="L39" s="224" t="e">
        <f>VLOOKUP(A39,[1]Spreads!$A$1:$G$87,7,FALSE)</f>
        <v>#N/A</v>
      </c>
      <c r="N39" s="225">
        <f>_xlfn.IFNA(VLOOKUP($A39,[1]IRESS!$A$11:$AE$696,6,FALSE)/100,"n/a")</f>
        <v>5.0599999999999996</v>
      </c>
      <c r="O39" s="32">
        <f>_xlfn.IFNA(VLOOKUP($A39,[1]IRESS!$A$11:$AE$696,21,FALSE)/100,"n/a")</f>
        <v>5.53</v>
      </c>
      <c r="P39" s="225">
        <f>_xlfn.IFNA(VLOOKUP($A39,[1]IRESS!$A$11:$AE$696,22,FALSE)/100,"n/a")</f>
        <v>4.59</v>
      </c>
      <c r="Q39" s="9"/>
      <c r="R39" s="35">
        <f>IFERROR((VLOOKUP($A39,[1]IRESS!$A$11:$AE$696,20,FALSE)/100)/N39,"n/a")</f>
        <v>4.9229249011857712E-2</v>
      </c>
      <c r="S39" s="226">
        <f>IFERROR(VLOOKUP($A39,[1]Morningstar!$A$2:$F$477,3,FALSE),"n/a")</f>
        <v>2.4799999999999999E-2</v>
      </c>
      <c r="T39" s="35">
        <f>IFERROR(VLOOKUP($A39,[1]Morningstar!$A$2:$F$477,4,FALSE),"n/a")</f>
        <v>0.10879999999999999</v>
      </c>
      <c r="U39" s="226">
        <f>IFERROR(VLOOKUP($A39,[1]Morningstar!$A$2:$F$477,5,FALSE),"n/a")</f>
        <v>0.1086</v>
      </c>
      <c r="V39" s="35">
        <f>IFERROR(VLOOKUP($A39,[1]Morningstar!$A$2:$F$477,6,FALSE),"n/a")</f>
        <v>0.1137</v>
      </c>
    </row>
    <row r="40" spans="1:22">
      <c r="A40" s="21" t="s">
        <v>652</v>
      </c>
      <c r="B40" s="219" t="s">
        <v>625</v>
      </c>
      <c r="C40" s="46" t="str">
        <f>VLOOKUP(A40,'[1]REIT Infra List'!$A$2:$B$56,2,FALSE)</f>
        <v>Hotel Property Investments</v>
      </c>
      <c r="D40" s="24"/>
      <c r="E40" s="9"/>
      <c r="F40" s="220">
        <f>_xlfn.IFNA(VLOOKUP(A40,'[1]REIT Infra List'!$A$2:$L$56,7,FALSE)/1000000,"n/a")</f>
        <v>461.69318723999999</v>
      </c>
      <c r="G40" s="26">
        <f>_xlfn.IFNA(VLOOKUP(A40,'[1]REIT Infra List'!$A$2:$L$56,12,FALSE)/1000000,"n/a")</f>
        <v>-13.14948950999999</v>
      </c>
      <c r="H40" s="221">
        <f>_xlfn.IFNA(VLOOKUP(A40,[1]IRESS!$A$10:$F$875,5,FALSE),"n/a")</f>
        <v>12462786.187600002</v>
      </c>
      <c r="I40" s="222">
        <f>_xlfn.IFNA(VLOOKUP(A40,[1]IRESS!$A$11:$G$674,7,FALSE),"n/a")</f>
        <v>3833531</v>
      </c>
      <c r="J40" s="221">
        <f>_xlfn.IFNA(VLOOKUP(A40,[1]IRESS!$A$10:$F$875,4,FALSE),"n/a")</f>
        <v>11611</v>
      </c>
      <c r="K40" s="223">
        <f t="shared" si="0"/>
        <v>2.6993654080326564E-2</v>
      </c>
      <c r="L40" s="224" t="e">
        <f>VLOOKUP(A40,[1]Spreads!$A$1:$G$87,7,FALSE)</f>
        <v>#N/A</v>
      </c>
      <c r="N40" s="225">
        <f>_xlfn.IFNA(VLOOKUP($A40,[1]IRESS!$A$11:$AE$696,6,FALSE)/100,"n/a")</f>
        <v>3.16</v>
      </c>
      <c r="O40" s="32">
        <f>_xlfn.IFNA(VLOOKUP($A40,[1]IRESS!$A$11:$AE$696,21,FALSE)/100,"n/a")</f>
        <v>3.42</v>
      </c>
      <c r="P40" s="225">
        <f>_xlfn.IFNA(VLOOKUP($A40,[1]IRESS!$A$11:$AE$696,22,FALSE)/100,"n/a")</f>
        <v>2.74</v>
      </c>
      <c r="Q40" s="9"/>
      <c r="R40" s="35">
        <f>IFERROR((VLOOKUP($A40,[1]IRESS!$A$11:$AE$696,20,FALSE)/100)/N40,"n/a")</f>
        <v>6.20253164556962E-2</v>
      </c>
      <c r="S40" s="226">
        <f>IFERROR(VLOOKUP($A40,[1]Morningstar!$A$2:$F$477,3,FALSE),"n/a")</f>
        <v>2.5000000000000001E-3</v>
      </c>
      <c r="T40" s="35">
        <f>IFERROR(VLOOKUP($A40,[1]Morningstar!$A$2:$F$477,4,FALSE),"n/a")</f>
        <v>0.11799999999999999</v>
      </c>
      <c r="U40" s="226">
        <f>IFERROR(VLOOKUP($A40,[1]Morningstar!$A$2:$F$477,5,FALSE),"n/a")</f>
        <v>0.15670000000000001</v>
      </c>
      <c r="V40" s="35" t="str">
        <f>IFERROR(VLOOKUP($A40,[1]Morningstar!$A$2:$F$477,6,FALSE),"n/a")</f>
        <v>n/a</v>
      </c>
    </row>
    <row r="41" spans="1:22">
      <c r="A41" s="21" t="s">
        <v>653</v>
      </c>
      <c r="B41" s="219" t="s">
        <v>625</v>
      </c>
      <c r="C41" s="46" t="str">
        <f>VLOOKUP(A41,'[1]REIT Infra List'!$A$2:$B$56,2,FALSE)</f>
        <v>Industria REIT</v>
      </c>
      <c r="D41" s="24"/>
      <c r="E41" s="9"/>
      <c r="F41" s="220">
        <f>_xlfn.IFNA(VLOOKUP(A41,'[1]REIT Infra List'!$A$2:$L$56,7,FALSE)/1000000,"n/a")</f>
        <v>431.52531894999998</v>
      </c>
      <c r="G41" s="26">
        <f>_xlfn.IFNA(VLOOKUP(A41,'[1]REIT Infra List'!$A$2:$L$56,12,FALSE)/1000000,"n/a")</f>
        <v>17.912371729999961</v>
      </c>
      <c r="H41" s="221">
        <f>_xlfn.IFNA(VLOOKUP(A41,[1]IRESS!$A$10:$F$875,5,FALSE),"n/a")</f>
        <v>11571198.517999999</v>
      </c>
      <c r="I41" s="222">
        <f>_xlfn.IFNA(VLOOKUP(A41,[1]IRESS!$A$11:$G$674,7,FALSE),"n/a")</f>
        <v>4463746</v>
      </c>
      <c r="J41" s="221">
        <f>_xlfn.IFNA(VLOOKUP(A41,[1]IRESS!$A$10:$F$875,4,FALSE),"n/a")</f>
        <v>4502</v>
      </c>
      <c r="K41" s="223">
        <f t="shared" si="0"/>
        <v>2.6814645653134277E-2</v>
      </c>
      <c r="L41" s="224" t="e">
        <f>VLOOKUP(A41,[1]Spreads!$A$1:$G$87,7,FALSE)</f>
        <v>#N/A</v>
      </c>
      <c r="N41" s="225">
        <f>_xlfn.IFNA(VLOOKUP($A41,[1]IRESS!$A$11:$AE$696,6,FALSE)/100,"n/a")</f>
        <v>2.65</v>
      </c>
      <c r="O41" s="32">
        <f>_xlfn.IFNA(VLOOKUP($A41,[1]IRESS!$A$11:$AE$696,21,FALSE)/100,"n/a")</f>
        <v>2.68</v>
      </c>
      <c r="P41" s="225">
        <f>_xlfn.IFNA(VLOOKUP($A41,[1]IRESS!$A$11:$AE$696,22,FALSE)/100,"n/a")</f>
        <v>2.23</v>
      </c>
      <c r="Q41" s="9"/>
      <c r="R41" s="35">
        <f>IFERROR((VLOOKUP($A41,[1]IRESS!$A$11:$AE$696,20,FALSE)/100)/N41,"n/a")</f>
        <v>6.2264150943396233E-2</v>
      </c>
      <c r="S41" s="226">
        <f>IFERROR(VLOOKUP($A41,[1]Morningstar!$A$2:$F$477,3,FALSE),"n/a")</f>
        <v>5.5899999999999998E-2</v>
      </c>
      <c r="T41" s="35">
        <f>IFERROR(VLOOKUP($A41,[1]Morningstar!$A$2:$F$477,4,FALSE),"n/a")</f>
        <v>0.23400000000000001</v>
      </c>
      <c r="U41" s="226">
        <f>IFERROR(VLOOKUP($A41,[1]Morningstar!$A$2:$F$477,5,FALSE),"n/a")</f>
        <v>0.20860000000000001</v>
      </c>
      <c r="V41" s="35" t="str">
        <f>IFERROR(VLOOKUP($A41,[1]Morningstar!$A$2:$F$477,6,FALSE),"n/a")</f>
        <v>n/a</v>
      </c>
    </row>
    <row r="42" spans="1:22">
      <c r="A42" s="21" t="s">
        <v>654</v>
      </c>
      <c r="B42" s="219" t="s">
        <v>625</v>
      </c>
      <c r="C42" s="46" t="str">
        <f>VLOOKUP(A42,'[1]REIT Infra List'!$A$2:$B$56,2,FALSE)</f>
        <v>Ingenia Communities Group</v>
      </c>
      <c r="D42" s="24"/>
      <c r="E42" s="9"/>
      <c r="F42" s="220">
        <f>_xlfn.IFNA(VLOOKUP(A42,'[1]REIT Infra List'!$A$2:$L$56,7,FALSE)/1000000,"n/a")</f>
        <v>640.92222963999995</v>
      </c>
      <c r="G42" s="26">
        <f>_xlfn.IFNA(VLOOKUP(A42,'[1]REIT Infra List'!$A$2:$L$56,12,FALSE)/1000000,"n/a")</f>
        <v>83.236653199999935</v>
      </c>
      <c r="H42" s="221">
        <f>_xlfn.IFNA(VLOOKUP(A42,[1]IRESS!$A$10:$F$875,5,FALSE),"n/a")</f>
        <v>65057133.924799986</v>
      </c>
      <c r="I42" s="222">
        <f>_xlfn.IFNA(VLOOKUP(A42,[1]IRESS!$A$11:$G$674,7,FALSE),"n/a")</f>
        <v>22196857</v>
      </c>
      <c r="J42" s="221">
        <f>_xlfn.IFNA(VLOOKUP(A42,[1]IRESS!$A$10:$F$875,4,FALSE),"n/a")</f>
        <v>12578</v>
      </c>
      <c r="K42" s="223">
        <f t="shared" si="0"/>
        <v>0.10150550396940042</v>
      </c>
      <c r="L42" s="224" t="e">
        <f>VLOOKUP(A42,[1]Spreads!$A$1:$G$87,7,FALSE)</f>
        <v>#N/A</v>
      </c>
      <c r="N42" s="225">
        <f>_xlfn.IFNA(VLOOKUP($A42,[1]IRESS!$A$11:$AE$696,6,FALSE)/100,"n/a")</f>
        <v>3.08</v>
      </c>
      <c r="O42" s="32">
        <f>_xlfn.IFNA(VLOOKUP($A42,[1]IRESS!$A$11:$AE$696,21,FALSE)/100,"n/a")</f>
        <v>3.14</v>
      </c>
      <c r="P42" s="225">
        <f>_xlfn.IFNA(VLOOKUP($A42,[1]IRESS!$A$11:$AE$696,22,FALSE)/100,"n/a")</f>
        <v>2.4900000000000002</v>
      </c>
      <c r="Q42" s="9"/>
      <c r="R42" s="35">
        <f>IFERROR((VLOOKUP($A42,[1]IRESS!$A$11:$AE$696,20,FALSE)/100)/N42,"n/a")</f>
        <v>3.3116883116883114E-2</v>
      </c>
      <c r="S42" s="226">
        <f>IFERROR(VLOOKUP($A42,[1]Morningstar!$A$2:$F$477,3,FALSE),"n/a")</f>
        <v>0.1449</v>
      </c>
      <c r="T42" s="35">
        <f>IFERROR(VLOOKUP($A42,[1]Morningstar!$A$2:$F$477,4,FALSE),"n/a")</f>
        <v>0.23050000000000001</v>
      </c>
      <c r="U42" s="226">
        <f>IFERROR(VLOOKUP($A42,[1]Morningstar!$A$2:$F$477,5,FALSE),"n/a")</f>
        <v>0.10050000000000001</v>
      </c>
      <c r="V42" s="35">
        <f>IFERROR(VLOOKUP($A42,[1]Morningstar!$A$2:$F$477,6,FALSE),"n/a")</f>
        <v>0.13039999999999999</v>
      </c>
    </row>
    <row r="43" spans="1:22">
      <c r="A43" s="21" t="s">
        <v>655</v>
      </c>
      <c r="B43" s="219" t="s">
        <v>625</v>
      </c>
      <c r="C43" s="46" t="str">
        <f>VLOOKUP(A43,'[1]REIT Infra List'!$A$2:$B$56,2,FALSE)</f>
        <v>Investa Office Fund</v>
      </c>
      <c r="D43" s="24"/>
      <c r="E43" s="9"/>
      <c r="F43" s="220">
        <f>_xlfn.IFNA(VLOOKUP(A43,'[1]REIT Infra List'!$A$2:$L$56,7,FALSE)/1000000,"n/a")</f>
        <v>3129.7312915500002</v>
      </c>
      <c r="G43" s="26">
        <f>_xlfn.IFNA(VLOOKUP(A43,'[1]REIT Infra List'!$A$2:$L$56,12,FALSE)/1000000,"n/a")</f>
        <v>107.7154173000002</v>
      </c>
      <c r="H43" s="221">
        <f>_xlfn.IFNA(VLOOKUP(A43,[1]IRESS!$A$10:$F$875,5,FALSE),"n/a")</f>
        <v>496053392.06060004</v>
      </c>
      <c r="I43" s="222">
        <f>_xlfn.IFNA(VLOOKUP(A43,[1]IRESS!$A$11:$G$674,7,FALSE),"n/a")</f>
        <v>96228110</v>
      </c>
      <c r="J43" s="221">
        <f>_xlfn.IFNA(VLOOKUP(A43,[1]IRESS!$A$10:$F$875,4,FALSE),"n/a")</f>
        <v>59733</v>
      </c>
      <c r="K43" s="223">
        <f t="shared" si="0"/>
        <v>0.1584971187142809</v>
      </c>
      <c r="L43" s="224" t="e">
        <f>VLOOKUP(A43,[1]Spreads!$A$1:$G$87,7,FALSE)</f>
        <v>#N/A</v>
      </c>
      <c r="N43" s="225">
        <f>_xlfn.IFNA(VLOOKUP($A43,[1]IRESS!$A$11:$AE$696,6,FALSE)/100,"n/a")</f>
        <v>5.23</v>
      </c>
      <c r="O43" s="32">
        <f>_xlfn.IFNA(VLOOKUP($A43,[1]IRESS!$A$11:$AE$696,21,FALSE)/100,"n/a")</f>
        <v>5.39</v>
      </c>
      <c r="P43" s="225">
        <f>_xlfn.IFNA(VLOOKUP($A43,[1]IRESS!$A$11:$AE$696,22,FALSE)/100,"n/a")</f>
        <v>4.13</v>
      </c>
      <c r="Q43" s="9"/>
      <c r="R43" s="35">
        <f>IFERROR((VLOOKUP($A43,[1]IRESS!$A$11:$AE$696,20,FALSE)/100)/N43,"n/a")</f>
        <v>3.8814531548757171E-2</v>
      </c>
      <c r="S43" s="226">
        <f>IFERROR(VLOOKUP($A43,[1]Morningstar!$A$2:$F$477,3,FALSE),"n/a")</f>
        <v>3.5299999999999998E-2</v>
      </c>
      <c r="T43" s="35">
        <f>IFERROR(VLOOKUP($A43,[1]Morningstar!$A$2:$F$477,4,FALSE),"n/a")</f>
        <v>0.24160000000000001</v>
      </c>
      <c r="U43" s="226">
        <f>IFERROR(VLOOKUP($A43,[1]Morningstar!$A$2:$F$477,5,FALSE),"n/a")</f>
        <v>0.16239999999999999</v>
      </c>
      <c r="V43" s="35">
        <f>IFERROR(VLOOKUP($A43,[1]Morningstar!$A$2:$F$477,6,FALSE),"n/a")</f>
        <v>0.17949999999999999</v>
      </c>
    </row>
    <row r="44" spans="1:22" ht="14.25" customHeight="1">
      <c r="A44" s="21" t="s">
        <v>656</v>
      </c>
      <c r="B44" s="219" t="s">
        <v>625</v>
      </c>
      <c r="C44" s="46" t="str">
        <f>VLOOKUP(A44,'[1]REIT Infra List'!$A$2:$B$56,2,FALSE)</f>
        <v>ALE Property Group</v>
      </c>
      <c r="D44" s="24"/>
      <c r="E44" s="9"/>
      <c r="F44" s="220">
        <f>_xlfn.IFNA(VLOOKUP(A44,'[1]REIT Infra List'!$A$2:$L$56,7,FALSE)/1000000,"n/a")</f>
        <v>1094.3491572</v>
      </c>
      <c r="G44" s="26">
        <f>_xlfn.IFNA(VLOOKUP(A44,'[1]REIT Infra List'!$A$2:$L$56,12,FALSE)/1000000,"n/a")</f>
        <v>-1.9576907999999522</v>
      </c>
      <c r="H44" s="221">
        <f>_xlfn.IFNA(VLOOKUP(A44,[1]IRESS!$A$10:$F$875,5,FALSE),"n/a")</f>
        <v>6335819.7550000008</v>
      </c>
      <c r="I44" s="222">
        <f>_xlfn.IFNA(VLOOKUP(A44,[1]IRESS!$A$11:$G$674,7,FALSE),"n/a")</f>
        <v>1152430</v>
      </c>
      <c r="J44" s="221">
        <f>_xlfn.IFNA(VLOOKUP(A44,[1]IRESS!$A$10:$F$875,4,FALSE),"n/a")</f>
        <v>2199</v>
      </c>
      <c r="K44" s="223">
        <f t="shared" si="0"/>
        <v>5.7895779544536027E-3</v>
      </c>
      <c r="L44" s="224" t="e">
        <f>VLOOKUP(A44,[1]Spreads!$A$1:$G$87,7,FALSE)</f>
        <v>#N/A</v>
      </c>
      <c r="N44" s="225">
        <f>_xlfn.IFNA(VLOOKUP($A44,[1]IRESS!$A$11:$AE$696,6,FALSE)/100,"n/a")</f>
        <v>5.59</v>
      </c>
      <c r="O44" s="32">
        <f>_xlfn.IFNA(VLOOKUP($A44,[1]IRESS!$A$11:$AE$696,21,FALSE)/100,"n/a")</f>
        <v>5.8250000000000002</v>
      </c>
      <c r="P44" s="225">
        <f>_xlfn.IFNA(VLOOKUP($A44,[1]IRESS!$A$11:$AE$696,22,FALSE)/100,"n/a")</f>
        <v>4.5</v>
      </c>
      <c r="Q44" s="9"/>
      <c r="R44" s="35">
        <f>IFERROR((VLOOKUP($A44,[1]IRESS!$A$11:$AE$696,20,FALSE)/100)/N44,"n/a")</f>
        <v>3.7209302325581388E-2</v>
      </c>
      <c r="S44" s="226">
        <f>IFERROR(VLOOKUP($A44,[1]Morningstar!$A$2:$F$477,3,FALSE),"n/a")</f>
        <v>6.4899999999999999E-2</v>
      </c>
      <c r="T44" s="35">
        <f>IFERROR(VLOOKUP($A44,[1]Morningstar!$A$2:$F$477,4,FALSE),"n/a")</f>
        <v>0.24540000000000001</v>
      </c>
      <c r="U44" s="226">
        <f>IFERROR(VLOOKUP($A44,[1]Morningstar!$A$2:$F$477,5,FALSE),"n/a")</f>
        <v>0.20039999999999999</v>
      </c>
      <c r="V44" s="35">
        <f>IFERROR(VLOOKUP($A44,[1]Morningstar!$A$2:$F$477,6,FALSE),"n/a")</f>
        <v>0.2157</v>
      </c>
    </row>
    <row r="45" spans="1:22" ht="14.25" customHeight="1">
      <c r="A45" s="21" t="s">
        <v>657</v>
      </c>
      <c r="B45" s="219" t="s">
        <v>625</v>
      </c>
      <c r="C45" s="46" t="str">
        <f>VLOOKUP(A45,'[1]REIT Infra List'!$A$2:$B$56,2,FALSE)</f>
        <v>Lantern Hotel Group</v>
      </c>
      <c r="D45" s="24"/>
      <c r="E45" s="9"/>
      <c r="F45" s="220">
        <f>_xlfn.IFNA(VLOOKUP(A45,'[1]REIT Infra List'!$A$2:$L$56,7,FALSE)/1000000,"n/a")</f>
        <v>3.5328085200000001</v>
      </c>
      <c r="G45" s="26">
        <f>_xlfn.IFNA(VLOOKUP(A45,'[1]REIT Infra List'!$A$2:$L$56,12,FALSE)/1000000,"n/a")</f>
        <v>0</v>
      </c>
      <c r="H45" s="221">
        <f>_xlfn.IFNA(VLOOKUP(A45,[1]IRESS!$A$10:$F$875,5,FALSE),"n/a")</f>
        <v>0</v>
      </c>
      <c r="I45" s="222">
        <f>_xlfn.IFNA(VLOOKUP(A45,[1]IRESS!$A$11:$G$674,7,FALSE),"n/a")</f>
        <v>0</v>
      </c>
      <c r="J45" s="221">
        <f>_xlfn.IFNA(VLOOKUP(A45,[1]IRESS!$A$10:$F$875,4,FALSE),"n/a")</f>
        <v>0</v>
      </c>
      <c r="K45" s="223">
        <f t="shared" si="0"/>
        <v>0</v>
      </c>
      <c r="L45" s="224" t="e">
        <f>VLOOKUP(A45,[1]Spreads!$A$1:$G$87,7,FALSE)</f>
        <v>#N/A</v>
      </c>
      <c r="N45" s="225">
        <f>_xlfn.IFNA(VLOOKUP($A45,[1]IRESS!$A$11:$AE$696,6,FALSE)/100,"n/a")</f>
        <v>2E-3</v>
      </c>
      <c r="O45" s="32">
        <f>_xlfn.IFNA(VLOOKUP($A45,[1]IRESS!$A$11:$AE$696,21,FALSE)/100,"n/a")</f>
        <v>2.5000000000000001E-3</v>
      </c>
      <c r="P45" s="225">
        <f>_xlfn.IFNA(VLOOKUP($A45,[1]IRESS!$A$11:$AE$696,22,FALSE)/100,"n/a")</f>
        <v>1.5E-3</v>
      </c>
      <c r="Q45" s="9"/>
      <c r="R45" s="35">
        <f>IFERROR((VLOOKUP($A45,[1]IRESS!$A$11:$AE$696,20,FALSE)/100)/N45,"n/a")</f>
        <v>0</v>
      </c>
      <c r="S45" s="226">
        <f>IFERROR(VLOOKUP($A45,[1]Morningstar!$A$2:$F$477,3,FALSE),"n/a")</f>
        <v>0</v>
      </c>
      <c r="T45" s="35">
        <f>IFERROR(VLOOKUP($A45,[1]Morningstar!$A$2:$F$477,4,FALSE),"n/a")</f>
        <v>5.014903129657227E-3</v>
      </c>
      <c r="U45" s="226">
        <f>IFERROR(VLOOKUP($A45,[1]Morningstar!$A$2:$F$477,5,FALSE),"n/a")</f>
        <v>1.4141940537480302E-3</v>
      </c>
      <c r="V45" s="35">
        <f>IFERROR(VLOOKUP($A45,[1]Morningstar!$A$2:$F$477,6,FALSE),"n/a")</f>
        <v>1.2085714672933755E-3</v>
      </c>
    </row>
    <row r="46" spans="1:22" ht="14.25" customHeight="1">
      <c r="A46" s="21" t="s">
        <v>658</v>
      </c>
      <c r="B46" s="219" t="s">
        <v>625</v>
      </c>
      <c r="C46" s="46" t="str">
        <f>VLOOKUP(A46,'[1]REIT Infra List'!$A$2:$B$56,2,FALSE)</f>
        <v>Mirvac Group</v>
      </c>
      <c r="D46" s="24"/>
      <c r="E46" s="9"/>
      <c r="F46" s="220">
        <f>_xlfn.IFNA(VLOOKUP(A46,'[1]REIT Infra List'!$A$2:$L$56,7,FALSE)/1000000,"n/a")</f>
        <v>8052.5921662199989</v>
      </c>
      <c r="G46" s="26">
        <f>_xlfn.IFNA(VLOOKUP(A46,'[1]REIT Infra List'!$A$2:$L$56,12,FALSE)/1000000,"n/a")</f>
        <v>-482.41335557999992</v>
      </c>
      <c r="H46" s="221">
        <f>_xlfn.IFNA(VLOOKUP(A46,[1]IRESS!$A$10:$F$875,5,FALSE),"n/a")</f>
        <v>951747939.62160027</v>
      </c>
      <c r="I46" s="222">
        <f>_xlfn.IFNA(VLOOKUP(A46,[1]IRESS!$A$11:$G$674,7,FALSE),"n/a")</f>
        <v>428606225</v>
      </c>
      <c r="J46" s="221">
        <f>_xlfn.IFNA(VLOOKUP(A46,[1]IRESS!$A$10:$F$875,4,FALSE),"n/a")</f>
        <v>81377</v>
      </c>
      <c r="K46" s="223">
        <f t="shared" si="0"/>
        <v>0.11819149908201103</v>
      </c>
      <c r="L46" s="224" t="e">
        <f>VLOOKUP(A46,[1]Spreads!$A$1:$G$87,7,FALSE)</f>
        <v>#N/A</v>
      </c>
      <c r="N46" s="225">
        <f>_xlfn.IFNA(VLOOKUP($A46,[1]IRESS!$A$11:$AE$696,6,FALSE)/100,"n/a")</f>
        <v>2.17</v>
      </c>
      <c r="O46" s="32">
        <f>_xlfn.IFNA(VLOOKUP($A46,[1]IRESS!$A$11:$AE$696,21,FALSE)/100,"n/a")</f>
        <v>2.54</v>
      </c>
      <c r="P46" s="225">
        <f>_xlfn.IFNA(VLOOKUP($A46,[1]IRESS!$A$11:$AE$696,22,FALSE)/100,"n/a")</f>
        <v>2.0049999999999999</v>
      </c>
      <c r="Q46" s="9"/>
      <c r="R46" s="35">
        <f>IFERROR((VLOOKUP($A46,[1]IRESS!$A$11:$AE$696,20,FALSE)/100)/N46,"n/a")</f>
        <v>5.0691244239631339E-2</v>
      </c>
      <c r="S46" s="226">
        <f>IFERROR(VLOOKUP($A46,[1]Morningstar!$A$2:$F$477,3,FALSE),"n/a")</f>
        <v>-3.8600000000000002E-2</v>
      </c>
      <c r="T46" s="35">
        <f>IFERROR(VLOOKUP($A46,[1]Morningstar!$A$2:$F$477,4,FALSE),"n/a")</f>
        <v>6.93E-2</v>
      </c>
      <c r="U46" s="226">
        <f>IFERROR(VLOOKUP($A46,[1]Morningstar!$A$2:$F$477,5,FALSE),"n/a")</f>
        <v>9.7699999999999995E-2</v>
      </c>
      <c r="V46" s="35">
        <f>IFERROR(VLOOKUP($A46,[1]Morningstar!$A$2:$F$477,6,FALSE),"n/a")</f>
        <v>0.1105</v>
      </c>
    </row>
    <row r="47" spans="1:22" ht="14.25" customHeight="1">
      <c r="A47" s="21" t="s">
        <v>659</v>
      </c>
      <c r="B47" s="219" t="s">
        <v>625</v>
      </c>
      <c r="C47" s="46" t="str">
        <f>VLOOKUP(A47,'[1]REIT Infra List'!$A$2:$B$56,2,FALSE)</f>
        <v>National Storage REIT</v>
      </c>
      <c r="D47" s="24"/>
      <c r="E47" s="9"/>
      <c r="F47" s="220">
        <f>_xlfn.IFNA(VLOOKUP(A47,'[1]REIT Infra List'!$A$2:$L$56,7,FALSE)/1000000,"n/a")</f>
        <v>919.73108409000008</v>
      </c>
      <c r="G47" s="26">
        <f>_xlfn.IFNA(VLOOKUP(A47,'[1]REIT Infra List'!$A$2:$L$56,12,FALSE)/1000000,"n/a")</f>
        <v>33.5464225200001</v>
      </c>
      <c r="H47" s="221">
        <f>_xlfn.IFNA(VLOOKUP(A47,[1]IRESS!$A$10:$F$875,5,FALSE),"n/a")</f>
        <v>81251187.443000004</v>
      </c>
      <c r="I47" s="222">
        <f>_xlfn.IFNA(VLOOKUP(A47,[1]IRESS!$A$11:$G$674,7,FALSE),"n/a")</f>
        <v>50605926</v>
      </c>
      <c r="J47" s="221">
        <f>_xlfn.IFNA(VLOOKUP(A47,[1]IRESS!$A$10:$F$875,4,FALSE),"n/a")</f>
        <v>34726</v>
      </c>
      <c r="K47" s="223">
        <f t="shared" si="0"/>
        <v>8.8342330544793457E-2</v>
      </c>
      <c r="L47" s="224" t="e">
        <f>VLOOKUP(A47,[1]Spreads!$A$1:$G$87,7,FALSE)</f>
        <v>#N/A</v>
      </c>
      <c r="N47" s="225">
        <f>_xlfn.IFNA(VLOOKUP($A47,[1]IRESS!$A$11:$AE$696,6,FALSE)/100,"n/a")</f>
        <v>1.645</v>
      </c>
      <c r="O47" s="32">
        <f>_xlfn.IFNA(VLOOKUP($A47,[1]IRESS!$A$11:$AE$696,21,FALSE)/100,"n/a")</f>
        <v>1.7050000000000001</v>
      </c>
      <c r="P47" s="225">
        <f>_xlfn.IFNA(VLOOKUP($A47,[1]IRESS!$A$11:$AE$696,22,FALSE)/100,"n/a")</f>
        <v>1.43</v>
      </c>
      <c r="Q47" s="9"/>
      <c r="R47" s="35">
        <f>IFERROR((VLOOKUP($A47,[1]IRESS!$A$11:$AE$696,20,FALSE)/100)/N47,"n/a")</f>
        <v>5.8358662613981774E-2</v>
      </c>
      <c r="S47" s="226">
        <f>IFERROR(VLOOKUP($A47,[1]Morningstar!$A$2:$F$477,3,FALSE),"n/a")</f>
        <v>6.2600000000000003E-2</v>
      </c>
      <c r="T47" s="35">
        <f>IFERROR(VLOOKUP($A47,[1]Morningstar!$A$2:$F$477,4,FALSE),"n/a")</f>
        <v>0.15620000000000001</v>
      </c>
      <c r="U47" s="226">
        <f>IFERROR(VLOOKUP($A47,[1]Morningstar!$A$2:$F$477,5,FALSE),"n/a")</f>
        <v>6.2300000000000001E-2</v>
      </c>
      <c r="V47" s="35" t="str">
        <f>IFERROR(VLOOKUP($A47,[1]Morningstar!$A$2:$F$477,6,FALSE),"n/a")</f>
        <v>n/a</v>
      </c>
    </row>
    <row r="48" spans="1:22" ht="14.25" customHeight="1">
      <c r="A48" s="21" t="s">
        <v>660</v>
      </c>
      <c r="B48" s="219" t="s">
        <v>625</v>
      </c>
      <c r="C48" s="46" t="str">
        <f>VLOOKUP(A48,'[1]REIT Infra List'!$A$2:$B$56,2,FALSE)</f>
        <v>Rural Funds Group</v>
      </c>
      <c r="D48" s="24"/>
      <c r="E48" s="9"/>
      <c r="F48" s="220">
        <f>_xlfn.IFNA(VLOOKUP(A48,'[1]REIT Infra List'!$A$2:$L$56,7,FALSE)/1000000,"n/a")</f>
        <v>541.93669180000006</v>
      </c>
      <c r="G48" s="26">
        <f>_xlfn.IFNA(VLOOKUP(A48,'[1]REIT Infra List'!$A$2:$L$56,12,FALSE)/1000000,"n/a")</f>
        <v>-2.556305149999857</v>
      </c>
      <c r="H48" s="221">
        <f>_xlfn.IFNA(VLOOKUP(A48,[1]IRESS!$A$10:$F$875,5,FALSE),"n/a")</f>
        <v>9880297.318500001</v>
      </c>
      <c r="I48" s="222">
        <f>_xlfn.IFNA(VLOOKUP(A48,[1]IRESS!$A$11:$G$674,7,FALSE),"n/a")</f>
        <v>4637006</v>
      </c>
      <c r="J48" s="221">
        <f>_xlfn.IFNA(VLOOKUP(A48,[1]IRESS!$A$10:$F$875,4,FALSE),"n/a")</f>
        <v>7150</v>
      </c>
      <c r="K48" s="223">
        <f t="shared" si="0"/>
        <v>1.8231460367969129E-2</v>
      </c>
      <c r="L48" s="224" t="e">
        <f>VLOOKUP(A48,[1]Spreads!$A$1:$G$87,7,FALSE)</f>
        <v>#N/A</v>
      </c>
      <c r="N48" s="225">
        <f>_xlfn.IFNA(VLOOKUP($A48,[1]IRESS!$A$11:$AE$696,6,FALSE)/100,"n/a")</f>
        <v>2.12</v>
      </c>
      <c r="O48" s="32">
        <f>_xlfn.IFNA(VLOOKUP($A48,[1]IRESS!$A$11:$AE$696,21,FALSE)/100,"n/a")</f>
        <v>2.4500000000000002</v>
      </c>
      <c r="P48" s="225">
        <f>_xlfn.IFNA(VLOOKUP($A48,[1]IRESS!$A$11:$AE$696,22,FALSE)/100,"n/a")</f>
        <v>1.8049999999999999</v>
      </c>
      <c r="Q48" s="9"/>
      <c r="R48" s="35">
        <f>IFERROR((VLOOKUP($A48,[1]IRESS!$A$11:$AE$696,20,FALSE)/100)/N48,"n/a")</f>
        <v>4.731132075471698E-2</v>
      </c>
      <c r="S48" s="226">
        <f>IFERROR(VLOOKUP($A48,[1]Morningstar!$A$2:$F$477,3,FALSE),"n/a")</f>
        <v>7.0000000000000001E-3</v>
      </c>
      <c r="T48" s="35">
        <f>IFERROR(VLOOKUP($A48,[1]Morningstar!$A$2:$F$477,4,FALSE),"n/a")</f>
        <v>0.20219999999999999</v>
      </c>
      <c r="U48" s="226">
        <f>IFERROR(VLOOKUP($A48,[1]Morningstar!$A$2:$F$477,5,FALSE),"n/a")</f>
        <v>0.33260000000000001</v>
      </c>
      <c r="V48" s="35" t="str">
        <f>IFERROR(VLOOKUP($A48,[1]Morningstar!$A$2:$F$477,6,FALSE),"n/a")</f>
        <v>n/a</v>
      </c>
    </row>
    <row r="49" spans="1:22" ht="14.25" customHeight="1">
      <c r="A49" s="21" t="s">
        <v>661</v>
      </c>
      <c r="B49" s="219" t="s">
        <v>529</v>
      </c>
      <c r="C49" s="46" t="str">
        <f>VLOOKUP(A49,'[1]REIT Infra List'!$A$2:$B$56,2,FALSE)</f>
        <v>RNY Property Trust</v>
      </c>
      <c r="D49" s="24"/>
      <c r="E49" s="9"/>
      <c r="F49" s="220">
        <f>_xlfn.IFNA(VLOOKUP(A49,'[1]REIT Infra List'!$A$2:$L$56,7,FALSE)/1000000,"n/a")</f>
        <v>1.317069445</v>
      </c>
      <c r="G49" s="26">
        <f>_xlfn.IFNA(VLOOKUP(A49,'[1]REIT Infra List'!$A$2:$L$56,12,FALSE)/1000000,"n/a")</f>
        <v>-1.053655556</v>
      </c>
      <c r="H49" s="221">
        <f>_xlfn.IFNA(VLOOKUP(A49,[1]IRESS!$A$10:$F$875,5,FALSE),"n/a")</f>
        <v>13702.203</v>
      </c>
      <c r="I49" s="222">
        <f>_xlfn.IFNA(VLOOKUP(A49,[1]IRESS!$A$11:$G$674,7,FALSE),"n/a")</f>
        <v>2067503</v>
      </c>
      <c r="J49" s="221">
        <f>_xlfn.IFNA(VLOOKUP(A49,[1]IRESS!$A$10:$F$875,4,FALSE),"n/a")</f>
        <v>43</v>
      </c>
      <c r="K49" s="223">
        <f t="shared" si="0"/>
        <v>1.0403553929534824E-2</v>
      </c>
      <c r="L49" s="224" t="e">
        <f>VLOOKUP(A49,[1]Spreads!$A$1:$G$87,7,FALSE)</f>
        <v>#N/A</v>
      </c>
      <c r="N49" s="225">
        <f>_xlfn.IFNA(VLOOKUP($A49,[1]IRESS!$A$11:$AE$696,6,FALSE)/100,"n/a")</f>
        <v>5.0000000000000001E-3</v>
      </c>
      <c r="O49" s="32">
        <f>_xlfn.IFNA(VLOOKUP($A49,[1]IRESS!$A$11:$AE$696,21,FALSE)/100,"n/a")</f>
        <v>3.2000000000000001E-2</v>
      </c>
      <c r="P49" s="225">
        <f>_xlfn.IFNA(VLOOKUP($A49,[1]IRESS!$A$11:$AE$696,22,FALSE)/100,"n/a")</f>
        <v>4.0000000000000001E-3</v>
      </c>
      <c r="Q49" s="9"/>
      <c r="R49" s="35">
        <f>IFERROR((VLOOKUP($A49,[1]IRESS!$A$11:$AE$696,20,FALSE)/100)/N49,"n/a")</f>
        <v>0</v>
      </c>
      <c r="S49" s="226">
        <f>IFERROR(VLOOKUP($A49,[1]Morningstar!$A$2:$F$477,3,FALSE),"n/a")</f>
        <v>-0.44700000000000001</v>
      </c>
      <c r="T49" s="35">
        <f>IFERROR(VLOOKUP($A49,[1]Morningstar!$A$2:$F$477,4,FALSE),"n/a")</f>
        <v>-0.83409999999999995</v>
      </c>
      <c r="U49" s="226">
        <f>IFERROR(VLOOKUP($A49,[1]Morningstar!$A$2:$F$477,5,FALSE),"n/a")</f>
        <v>-0.74480000000000002</v>
      </c>
      <c r="V49" s="35">
        <f>IFERROR(VLOOKUP($A49,[1]Morningstar!$A$2:$F$477,6,FALSE),"n/a")</f>
        <v>-0.55479999999999996</v>
      </c>
    </row>
    <row r="50" spans="1:22" ht="14.25" customHeight="1">
      <c r="A50" s="21" t="s">
        <v>662</v>
      </c>
      <c r="B50" s="219" t="s">
        <v>625</v>
      </c>
      <c r="C50" s="46" t="str">
        <f>VLOOKUP(A50,'[1]REIT Infra List'!$A$2:$B$56,2,FALSE)</f>
        <v>Propertylink Group</v>
      </c>
      <c r="D50" s="24"/>
      <c r="E50" s="9"/>
      <c r="F50" s="220">
        <f>_xlfn.IFNA(VLOOKUP(A50,'[1]REIT Infra List'!$A$2:$L$56,7,FALSE)/1000000,"n/a")</f>
        <v>638.94714873999999</v>
      </c>
      <c r="G50" s="26">
        <f>_xlfn.IFNA(VLOOKUP(A50,'[1]REIT Infra List'!$A$2:$L$56,12,FALSE)/1000000,"n/a")</f>
        <v>9.0417049350000624</v>
      </c>
      <c r="H50" s="221">
        <f>_xlfn.IFNA(VLOOKUP(A50,[1]IRESS!$A$10:$F$875,5,FALSE),"n/a")</f>
        <v>12149441.624999998</v>
      </c>
      <c r="I50" s="222">
        <f>_xlfn.IFNA(VLOOKUP(A50,[1]IRESS!$A$11:$G$674,7,FALSE),"n/a")</f>
        <v>11417810</v>
      </c>
      <c r="J50" s="221">
        <f>_xlfn.IFNA(VLOOKUP(A50,[1]IRESS!$A$10:$F$875,4,FALSE),"n/a")</f>
        <v>11079</v>
      </c>
      <c r="K50" s="223">
        <f t="shared" si="0"/>
        <v>1.9014783380689036E-2</v>
      </c>
      <c r="L50" s="224" t="e">
        <f>VLOOKUP(A50,[1]Spreads!$A$1:$G$87,7,FALSE)</f>
        <v>#N/A</v>
      </c>
      <c r="N50" s="225">
        <f>_xlfn.IFNA(VLOOKUP($A50,[1]IRESS!$A$11:$AE$696,6,FALSE)/100,"n/a")</f>
        <v>1.06</v>
      </c>
      <c r="O50" s="32">
        <f>_xlfn.IFNA(VLOOKUP($A50,[1]IRESS!$A$11:$AE$696,21,FALSE)/100,"n/a")</f>
        <v>1.1200000000000001</v>
      </c>
      <c r="P50" s="225">
        <f>_xlfn.IFNA(VLOOKUP($A50,[1]IRESS!$A$11:$AE$696,22,FALSE)/100,"n/a")</f>
        <v>0.81</v>
      </c>
      <c r="Q50" s="9"/>
      <c r="R50" s="35">
        <f>IFERROR((VLOOKUP($A50,[1]IRESS!$A$11:$AE$696,20,FALSE)/100)/N50,"n/a")</f>
        <v>6.8867924528301885E-2</v>
      </c>
      <c r="S50" s="226">
        <f>IFERROR(VLOOKUP($A50,[1]Morningstar!$A$2:$F$477,3,FALSE),"n/a")</f>
        <v>4.4600000000000001E-2</v>
      </c>
      <c r="T50" s="35">
        <f>IFERROR(VLOOKUP($A50,[1]Morningstar!$A$2:$F$477,4,FALSE),"n/a")</f>
        <v>0.34499999999999997</v>
      </c>
      <c r="U50" s="226" t="str">
        <f>IFERROR(VLOOKUP($A50,[1]Morningstar!$A$2:$F$477,5,FALSE),"n/a")</f>
        <v>n/a</v>
      </c>
      <c r="V50" s="35" t="str">
        <f>IFERROR(VLOOKUP($A50,[1]Morningstar!$A$2:$F$477,6,FALSE),"n/a")</f>
        <v>n/a</v>
      </c>
    </row>
    <row r="51" spans="1:22" ht="14.25" customHeight="1">
      <c r="A51" s="21" t="s">
        <v>663</v>
      </c>
      <c r="B51" s="219" t="s">
        <v>625</v>
      </c>
      <c r="C51" s="46" t="str">
        <f>VLOOKUP(A51,'[1]REIT Infra List'!$A$2:$B$56,2,FALSE)</f>
        <v>Scentre Group</v>
      </c>
      <c r="D51" s="24"/>
      <c r="E51" s="9"/>
      <c r="F51" s="220">
        <f>_xlfn.IFNA(VLOOKUP(A51,'[1]REIT Infra List'!$A$2:$L$56,7,FALSE)/1000000,"n/a")</f>
        <v>23348.375454500001</v>
      </c>
      <c r="G51" s="26">
        <f>_xlfn.IFNA(VLOOKUP(A51,'[1]REIT Infra List'!$A$2:$L$56,12,FALSE)/1000000,"n/a")</f>
        <v>1092.815340460003</v>
      </c>
      <c r="H51" s="221">
        <f>_xlfn.IFNA(VLOOKUP(A51,[1]IRESS!$A$10:$F$875,5,FALSE),"n/a")</f>
        <v>1234854652.6626563</v>
      </c>
      <c r="I51" s="222">
        <f>_xlfn.IFNA(VLOOKUP(A51,[1]IRESS!$A$11:$G$674,7,FALSE),"n/a")</f>
        <v>288983418</v>
      </c>
      <c r="J51" s="221">
        <f>_xlfn.IFNA(VLOOKUP(A51,[1]IRESS!$A$10:$F$875,4,FALSE),"n/a")</f>
        <v>126621</v>
      </c>
      <c r="K51" s="223">
        <f t="shared" si="0"/>
        <v>5.2888247196001777E-2</v>
      </c>
      <c r="L51" s="224" t="e">
        <f>VLOOKUP(A51,[1]Spreads!$A$1:$G$87,7,FALSE)</f>
        <v>#N/A</v>
      </c>
      <c r="N51" s="225">
        <f>_xlfn.IFNA(VLOOKUP($A51,[1]IRESS!$A$11:$AE$696,6,FALSE)/100,"n/a")</f>
        <v>4.3899999999999997</v>
      </c>
      <c r="O51" s="32">
        <f>_xlfn.IFNA(VLOOKUP($A51,[1]IRESS!$A$11:$AE$696,21,FALSE)/100,"n/a")</f>
        <v>4.47</v>
      </c>
      <c r="P51" s="225">
        <f>_xlfn.IFNA(VLOOKUP($A51,[1]IRESS!$A$11:$AE$696,22,FALSE)/100,"n/a")</f>
        <v>3.7</v>
      </c>
      <c r="Q51" s="9"/>
      <c r="R51" s="35">
        <f>IFERROR((VLOOKUP($A51,[1]IRESS!$A$11:$AE$696,20,FALSE)/100)/N51,"n/a")</f>
        <v>4.9498861047835983E-2</v>
      </c>
      <c r="S51" s="226">
        <f>IFERROR(VLOOKUP($A51,[1]Morningstar!$A$2:$F$477,3,FALSE),"n/a")</f>
        <v>4.7600000000000003E-2</v>
      </c>
      <c r="T51" s="35">
        <f>IFERROR(VLOOKUP($A51,[1]Morningstar!$A$2:$F$477,4,FALSE),"n/a")</f>
        <v>0.14599999999999999</v>
      </c>
      <c r="U51" s="226">
        <f>IFERROR(VLOOKUP($A51,[1]Morningstar!$A$2:$F$477,5,FALSE),"n/a")</f>
        <v>0.1085</v>
      </c>
      <c r="V51" s="35">
        <f>IFERROR(VLOOKUP($A51,[1]Morningstar!$A$2:$F$477,6,FALSE),"n/a")</f>
        <v>0.15140000000000001</v>
      </c>
    </row>
    <row r="52" spans="1:22" ht="14.25" customHeight="1">
      <c r="A52" s="21" t="s">
        <v>664</v>
      </c>
      <c r="B52" s="219" t="s">
        <v>625</v>
      </c>
      <c r="C52" s="46" t="str">
        <f>VLOOKUP(A52,'[1]REIT Infra List'!$A$2:$B$56,2,FALSE)</f>
        <v>Shopping Centres Australasia Property Group</v>
      </c>
      <c r="D52" s="24"/>
      <c r="E52" s="9"/>
      <c r="F52" s="220">
        <f>_xlfn.IFNA(VLOOKUP(A52,'[1]REIT Infra List'!$A$2:$L$56,7,FALSE)/1000000,"n/a")</f>
        <v>1835.4283657500002</v>
      </c>
      <c r="G52" s="26">
        <f>_xlfn.IFNA(VLOOKUP(A52,'[1]REIT Infra List'!$A$2:$L$56,12,FALSE)/1000000,"n/a")</f>
        <v>-7.4915443499996659</v>
      </c>
      <c r="H52" s="221">
        <f>_xlfn.IFNA(VLOOKUP(A52,[1]IRESS!$A$10:$F$875,5,FALSE),"n/a")</f>
        <v>168173529.29119998</v>
      </c>
      <c r="I52" s="222">
        <f>_xlfn.IFNA(VLOOKUP(A52,[1]IRESS!$A$11:$G$674,7,FALSE),"n/a")</f>
        <v>67958379</v>
      </c>
      <c r="J52" s="221">
        <f>_xlfn.IFNA(VLOOKUP(A52,[1]IRESS!$A$10:$F$875,4,FALSE),"n/a")</f>
        <v>43833</v>
      </c>
      <c r="K52" s="223">
        <f t="shared" si="0"/>
        <v>9.1626310473021499E-2</v>
      </c>
      <c r="L52" s="224" t="e">
        <f>VLOOKUP(A52,[1]Spreads!$A$1:$G$87,7,FALSE)</f>
        <v>#N/A</v>
      </c>
      <c r="N52" s="225">
        <f>_xlfn.IFNA(VLOOKUP($A52,[1]IRESS!$A$11:$AE$696,6,FALSE)/100,"n/a")</f>
        <v>2.4500000000000002</v>
      </c>
      <c r="O52" s="32">
        <f>_xlfn.IFNA(VLOOKUP($A52,[1]IRESS!$A$11:$AE$696,21,FALSE)/100,"n/a")</f>
        <v>2.58</v>
      </c>
      <c r="P52" s="225">
        <f>_xlfn.IFNA(VLOOKUP($A52,[1]IRESS!$A$11:$AE$696,22,FALSE)/100,"n/a")</f>
        <v>2.1</v>
      </c>
      <c r="Q52" s="9"/>
      <c r="R52" s="35">
        <f>IFERROR((VLOOKUP($A52,[1]IRESS!$A$11:$AE$696,20,FALSE)/100)/N52,"n/a")</f>
        <v>5.6734693877551007E-2</v>
      </c>
      <c r="S52" s="226">
        <f>IFERROR(VLOOKUP($A52,[1]Morningstar!$A$2:$F$477,3,FALSE),"n/a")</f>
        <v>2.87E-2</v>
      </c>
      <c r="T52" s="35">
        <f>IFERROR(VLOOKUP($A52,[1]Morningstar!$A$2:$F$477,4,FALSE),"n/a")</f>
        <v>0.1847</v>
      </c>
      <c r="U52" s="226">
        <f>IFERROR(VLOOKUP($A52,[1]Morningstar!$A$2:$F$477,5,FALSE),"n/a")</f>
        <v>9.9199999999999997E-2</v>
      </c>
      <c r="V52" s="35">
        <f>IFERROR(VLOOKUP($A52,[1]Morningstar!$A$2:$F$477,6,FALSE),"n/a")</f>
        <v>0.15</v>
      </c>
    </row>
    <row r="53" spans="1:22" ht="14.25" customHeight="1">
      <c r="A53" s="21" t="s">
        <v>665</v>
      </c>
      <c r="B53" s="219" t="s">
        <v>625</v>
      </c>
      <c r="C53" s="46" t="str">
        <f>VLOOKUP(A53,'[1]REIT Infra List'!$A$2:$B$56,2,FALSE)</f>
        <v>Stockland</v>
      </c>
      <c r="D53" s="24"/>
      <c r="E53" s="9"/>
      <c r="F53" s="220">
        <f>_xlfn.IFNA(VLOOKUP(A53,'[1]REIT Infra List'!$A$2:$L$56,7,FALSE)/1000000,"n/a")</f>
        <v>9664.8430257200016</v>
      </c>
      <c r="G53" s="26">
        <f>_xlfn.IFNA(VLOOKUP(A53,'[1]REIT Infra List'!$A$2:$L$56,12,FALSE)/1000000,"n/a")</f>
        <v>-438.20446968000033</v>
      </c>
      <c r="H53" s="221">
        <f>_xlfn.IFNA(VLOOKUP(A53,[1]IRESS!$A$10:$F$875,5,FALSE),"n/a")</f>
        <v>704499515.94970036</v>
      </c>
      <c r="I53" s="222">
        <f>_xlfn.IFNA(VLOOKUP(A53,[1]IRESS!$A$11:$G$674,7,FALSE),"n/a")</f>
        <v>170393566</v>
      </c>
      <c r="J53" s="221">
        <f>_xlfn.IFNA(VLOOKUP(A53,[1]IRESS!$A$10:$F$875,4,FALSE),"n/a")</f>
        <v>91394</v>
      </c>
      <c r="K53" s="223">
        <f t="shared" si="0"/>
        <v>7.2893011720406839E-2</v>
      </c>
      <c r="L53" s="224" t="e">
        <f>VLOOKUP(A53,[1]Spreads!$A$1:$G$87,7,FALSE)</f>
        <v>#N/A</v>
      </c>
      <c r="N53" s="225">
        <f>_xlfn.IFNA(VLOOKUP($A53,[1]IRESS!$A$11:$AE$696,6,FALSE)/100,"n/a")</f>
        <v>3.97</v>
      </c>
      <c r="O53" s="32">
        <f>_xlfn.IFNA(VLOOKUP($A53,[1]IRESS!$A$11:$AE$696,21,FALSE)/100,"n/a")</f>
        <v>4.79</v>
      </c>
      <c r="P53" s="225">
        <f>_xlfn.IFNA(VLOOKUP($A53,[1]IRESS!$A$11:$AE$696,22,FALSE)/100,"n/a")</f>
        <v>3.9</v>
      </c>
      <c r="Q53" s="9"/>
      <c r="R53" s="35">
        <f>IFERROR((VLOOKUP($A53,[1]IRESS!$A$11:$AE$696,20,FALSE)/100)/N53,"n/a")</f>
        <v>6.6750629722921909E-2</v>
      </c>
      <c r="S53" s="226">
        <f>IFERROR(VLOOKUP($A53,[1]Morningstar!$A$2:$F$477,3,FALSE),"n/a")</f>
        <v>-2.9499999999999998E-2</v>
      </c>
      <c r="T53" s="35">
        <f>IFERROR(VLOOKUP($A53,[1]Morningstar!$A$2:$F$477,4,FALSE),"n/a")</f>
        <v>-3.56E-2</v>
      </c>
      <c r="U53" s="226">
        <f>IFERROR(VLOOKUP($A53,[1]Morningstar!$A$2:$F$477,5,FALSE),"n/a")</f>
        <v>4.8099999999999997E-2</v>
      </c>
      <c r="V53" s="35">
        <f>IFERROR(VLOOKUP($A53,[1]Morningstar!$A$2:$F$477,6,FALSE),"n/a")</f>
        <v>8.8900000000000007E-2</v>
      </c>
    </row>
    <row r="54" spans="1:22" ht="15" customHeight="1">
      <c r="A54" s="21" t="s">
        <v>666</v>
      </c>
      <c r="B54" s="219" t="s">
        <v>625</v>
      </c>
      <c r="C54" s="46" t="str">
        <f>VLOOKUP(A54,'[1]REIT Infra List'!$A$2:$B$56,2,FALSE)</f>
        <v>360 Capital Group</v>
      </c>
      <c r="D54" s="24"/>
      <c r="E54" s="9"/>
      <c r="F54" s="220">
        <f>_xlfn.IFNA(VLOOKUP(A54,'[1]REIT Infra List'!$A$2:$L$56,7,FALSE)/1000000,"n/a")</f>
        <v>231.95520949999997</v>
      </c>
      <c r="G54" s="26">
        <f>_xlfn.IFNA(VLOOKUP(A54,'[1]REIT Infra List'!$A$2:$L$56,12,FALSE)/1000000,"n/a")</f>
        <v>-2.2852730000000001</v>
      </c>
      <c r="H54" s="221">
        <f>_xlfn.IFNA(VLOOKUP(A54,[1]IRESS!$A$10:$F$875,5,FALSE),"n/a")</f>
        <v>8236001.1450000023</v>
      </c>
      <c r="I54" s="222">
        <f>_xlfn.IFNA(VLOOKUP(A54,[1]IRESS!$A$11:$G$674,7,FALSE),"n/a")</f>
        <v>8054310</v>
      </c>
      <c r="J54" s="221">
        <f>_xlfn.IFNA(VLOOKUP(A54,[1]IRESS!$A$10:$F$875,4,FALSE),"n/a")</f>
        <v>489</v>
      </c>
      <c r="K54" s="223">
        <f t="shared" si="0"/>
        <v>3.5506859978499443E-2</v>
      </c>
      <c r="L54" s="224" t="e">
        <f>VLOOKUP(A54,[1]Spreads!$A$1:$G$87,7,FALSE)</f>
        <v>#N/A</v>
      </c>
      <c r="N54" s="225">
        <f>_xlfn.IFNA(VLOOKUP($A54,[1]IRESS!$A$11:$AE$696,6,FALSE)/100,"n/a")</f>
        <v>1.0149999999999999</v>
      </c>
      <c r="O54" s="32">
        <f>_xlfn.IFNA(VLOOKUP($A54,[1]IRESS!$A$11:$AE$696,21,FALSE)/100,"n/a")</f>
        <v>1.1000000000000001</v>
      </c>
      <c r="P54" s="225">
        <f>_xlfn.IFNA(VLOOKUP($A54,[1]IRESS!$A$11:$AE$696,22,FALSE)/100,"n/a")</f>
        <v>0.92500000000000004</v>
      </c>
      <c r="Q54" s="9"/>
      <c r="R54" s="35">
        <f>IFERROR((VLOOKUP($A54,[1]IRESS!$A$11:$AE$696,20,FALSE)/100)/N54,"n/a")</f>
        <v>0.26118226600985223</v>
      </c>
      <c r="S54" s="226">
        <f>IFERROR(VLOOKUP($A54,[1]Morningstar!$A$2:$F$477,3,FALSE),"n/a")</f>
        <v>9.9000000000000008E-3</v>
      </c>
      <c r="T54" s="35">
        <f>IFERROR(VLOOKUP($A54,[1]Morningstar!$A$2:$F$477,4,FALSE),"n/a")</f>
        <v>0.33979999999999999</v>
      </c>
      <c r="U54" s="226">
        <f>IFERROR(VLOOKUP($A54,[1]Morningstar!$A$2:$F$477,5,FALSE),"n/a")</f>
        <v>0.108</v>
      </c>
      <c r="V54" s="35">
        <f>IFERROR(VLOOKUP($A54,[1]Morningstar!$A$2:$F$477,6,FALSE),"n/a")</f>
        <v>0.27639999999999998</v>
      </c>
    </row>
    <row r="55" spans="1:22" ht="14.25" customHeight="1">
      <c r="A55" s="21" t="s">
        <v>667</v>
      </c>
      <c r="B55" s="219" t="s">
        <v>625</v>
      </c>
      <c r="C55" s="46" t="str">
        <f>VLOOKUP(A55,'[1]REIT Infra List'!$A$2:$B$56,2,FALSE)</f>
        <v>360 Capital Total Return Fund</v>
      </c>
      <c r="D55" s="24"/>
      <c r="E55" s="9"/>
      <c r="F55" s="220">
        <f>_xlfn.IFNA(VLOOKUP(A55,'[1]REIT Infra List'!$A$2:$L$56,7,FALSE)/1000000,"n/a")</f>
        <v>82.975595220000002</v>
      </c>
      <c r="G55" s="26">
        <f>_xlfn.IFNA(VLOOKUP(A55,'[1]REIT Infra List'!$A$2:$L$56,12,FALSE)/1000000,"n/a")</f>
        <v>3.292682349999994</v>
      </c>
      <c r="H55" s="221">
        <f>_xlfn.IFNA(VLOOKUP(A55,[1]IRESS!$A$10:$F$875,5,FALSE),"n/a")</f>
        <v>1211628.5550000002</v>
      </c>
      <c r="I55" s="222">
        <f>_xlfn.IFNA(VLOOKUP(A55,[1]IRESS!$A$11:$G$674,7,FALSE),"n/a")</f>
        <v>960610</v>
      </c>
      <c r="J55" s="221">
        <f>_xlfn.IFNA(VLOOKUP(A55,[1]IRESS!$A$10:$F$875,4,FALSE),"n/a")</f>
        <v>126</v>
      </c>
      <c r="K55" s="223">
        <f t="shared" si="0"/>
        <v>1.4602227941691892E-2</v>
      </c>
      <c r="L55" s="224" t="e">
        <f>VLOOKUP(A55,[1]Spreads!$A$1:$G$87,7,FALSE)</f>
        <v>#N/A</v>
      </c>
      <c r="N55" s="225">
        <f>_xlfn.IFNA(VLOOKUP($A55,[1]IRESS!$A$11:$AE$696,6,FALSE)/100,"n/a")</f>
        <v>1.26</v>
      </c>
      <c r="O55" s="32">
        <f>_xlfn.IFNA(VLOOKUP($A55,[1]IRESS!$A$11:$AE$696,21,FALSE)/100,"n/a")</f>
        <v>1.32</v>
      </c>
      <c r="P55" s="225">
        <f>_xlfn.IFNA(VLOOKUP($A55,[1]IRESS!$A$11:$AE$696,22,FALSE)/100,"n/a")</f>
        <v>1.1100000000000001</v>
      </c>
      <c r="Q55" s="9"/>
      <c r="R55" s="35">
        <f>IFERROR((VLOOKUP($A55,[1]IRESS!$A$11:$AE$696,20,FALSE)/100)/N55,"n/a")</f>
        <v>7.1428571428571425E-2</v>
      </c>
      <c r="S55" s="226">
        <f>IFERROR(VLOOKUP($A55,[1]Morningstar!$A$2:$F$477,3,FALSE),"n/a")</f>
        <v>5.96E-2</v>
      </c>
      <c r="T55" s="35">
        <f>IFERROR(VLOOKUP($A55,[1]Morningstar!$A$2:$F$477,4,FALSE),"n/a")</f>
        <v>0.222</v>
      </c>
      <c r="U55" s="226">
        <f>IFERROR(VLOOKUP($A55,[1]Morningstar!$A$2:$F$477,5,FALSE),"n/a")</f>
        <v>0.1208</v>
      </c>
      <c r="V55" s="35" t="str">
        <f>IFERROR(VLOOKUP($A55,[1]Morningstar!$A$2:$F$477,6,FALSE),"n/a")</f>
        <v>n/a</v>
      </c>
    </row>
    <row r="56" spans="1:22" ht="14.25" customHeight="1">
      <c r="A56" s="21" t="s">
        <v>668</v>
      </c>
      <c r="B56" s="219" t="s">
        <v>625</v>
      </c>
      <c r="C56" s="46" t="str">
        <f>VLOOKUP(A56,'[1]REIT Infra List'!$A$2:$B$56,2,FALSE)</f>
        <v>Vicinity Centres</v>
      </c>
      <c r="D56" s="24"/>
      <c r="E56" s="9"/>
      <c r="F56" s="220">
        <f>_xlfn.IFNA(VLOOKUP(A56,'[1]REIT Infra List'!$A$2:$L$56,7,FALSE)/1000000,"n/a")</f>
        <v>10027.467224529999</v>
      </c>
      <c r="G56" s="26">
        <f>_xlfn.IFNA(VLOOKUP(A56,'[1]REIT Infra List'!$A$2:$L$56,12,FALSE)/1000000,"n/a")</f>
        <v>-309.72871736000059</v>
      </c>
      <c r="H56" s="221">
        <f>_xlfn.IFNA(VLOOKUP(A56,[1]IRESS!$A$10:$F$875,5,FALSE),"n/a")</f>
        <v>732928599.75619996</v>
      </c>
      <c r="I56" s="222">
        <f>_xlfn.IFNA(VLOOKUP(A56,[1]IRESS!$A$11:$G$674,7,FALSE),"n/a")</f>
        <v>274294802</v>
      </c>
      <c r="J56" s="221">
        <f>_xlfn.IFNA(VLOOKUP(A56,[1]IRESS!$A$10:$F$875,4,FALSE),"n/a")</f>
        <v>80017</v>
      </c>
      <c r="K56" s="223">
        <f t="shared" si="0"/>
        <v>7.3092096273648335E-2</v>
      </c>
      <c r="L56" s="224" t="e">
        <f>VLOOKUP(A56,[1]Spreads!$A$1:$G$87,7,FALSE)</f>
        <v>#N/A</v>
      </c>
      <c r="N56" s="225">
        <f>_xlfn.IFNA(VLOOKUP($A56,[1]IRESS!$A$11:$AE$696,6,FALSE)/100,"n/a")</f>
        <v>2.59</v>
      </c>
      <c r="O56" s="32">
        <f>_xlfn.IFNA(VLOOKUP($A56,[1]IRESS!$A$11:$AE$696,21,FALSE)/100,"n/a")</f>
        <v>2.92</v>
      </c>
      <c r="P56" s="225">
        <f>_xlfn.IFNA(VLOOKUP($A56,[1]IRESS!$A$11:$AE$696,22,FALSE)/100,"n/a")</f>
        <v>2.36</v>
      </c>
      <c r="Q56" s="9"/>
      <c r="R56" s="35">
        <f>IFERROR((VLOOKUP($A56,[1]IRESS!$A$11:$AE$696,20,FALSE)/100)/N56,"n/a")</f>
        <v>6.2934362934362928E-2</v>
      </c>
      <c r="S56" s="226">
        <f>IFERROR(VLOOKUP($A56,[1]Morningstar!$A$2:$F$477,3,FALSE),"n/a")</f>
        <v>-6.8999999999999999E-3</v>
      </c>
      <c r="T56" s="35">
        <f>IFERROR(VLOOKUP($A56,[1]Morningstar!$A$2:$F$477,4,FALSE),"n/a")</f>
        <v>7.0599999999999996E-2</v>
      </c>
      <c r="U56" s="226">
        <f>IFERROR(VLOOKUP($A56,[1]Morningstar!$A$2:$F$477,5,FALSE),"n/a")</f>
        <v>0.02</v>
      </c>
      <c r="V56" s="35">
        <f>IFERROR(VLOOKUP($A56,[1]Morningstar!$A$2:$F$477,6,FALSE),"n/a")</f>
        <v>8.1000000000000003E-2</v>
      </c>
    </row>
    <row r="57" spans="1:22" ht="14.25" customHeight="1">
      <c r="A57" s="21" t="s">
        <v>669</v>
      </c>
      <c r="B57" s="219" t="s">
        <v>625</v>
      </c>
      <c r="C57" s="46" t="str">
        <f>VLOOKUP(A57,'[1]REIT Infra List'!$A$2:$B$56,2,FALSE)</f>
        <v>Viva Energy REIT</v>
      </c>
      <c r="D57" s="24"/>
      <c r="E57" s="9"/>
      <c r="F57" s="220">
        <f>_xlfn.IFNA(VLOOKUP(A57,'[1]REIT Infra List'!$A$2:$L$56,7,FALSE)/1000000,"n/a")</f>
        <v>1632.9368294999999</v>
      </c>
      <c r="G57" s="26">
        <f>_xlfn.IFNA(VLOOKUP(A57,'[1]REIT Infra List'!$A$2:$L$56,12,FALSE)/1000000,"n/a")</f>
        <v>145.14994040000011</v>
      </c>
      <c r="H57" s="221">
        <f>_xlfn.IFNA(VLOOKUP(A57,[1]IRESS!$A$10:$F$875,5,FALSE),"n/a")</f>
        <v>114006597.7229</v>
      </c>
      <c r="I57" s="222">
        <f>_xlfn.IFNA(VLOOKUP(A57,[1]IRESS!$A$11:$G$674,7,FALSE),"n/a")</f>
        <v>53463764</v>
      </c>
      <c r="J57" s="221">
        <f>_xlfn.IFNA(VLOOKUP(A57,[1]IRESS!$A$10:$F$875,4,FALSE),"n/a")</f>
        <v>28891</v>
      </c>
      <c r="K57" s="223">
        <f t="shared" si="0"/>
        <v>6.9816906363615094E-2</v>
      </c>
      <c r="L57" s="224" t="e">
        <f>VLOOKUP(A57,[1]Spreads!$A$1:$G$87,7,FALSE)</f>
        <v>#N/A</v>
      </c>
      <c r="N57" s="225">
        <f>_xlfn.IFNA(VLOOKUP($A57,[1]IRESS!$A$11:$AE$696,6,FALSE)/100,"n/a")</f>
        <v>2.25</v>
      </c>
      <c r="O57" s="32">
        <f>_xlfn.IFNA(VLOOKUP($A57,[1]IRESS!$A$11:$AE$696,21,FALSE)/100,"n/a")</f>
        <v>2.31</v>
      </c>
      <c r="P57" s="225">
        <f>_xlfn.IFNA(VLOOKUP($A57,[1]IRESS!$A$11:$AE$696,22,FALSE)/100,"n/a")</f>
        <v>1.94</v>
      </c>
      <c r="Q57" s="9"/>
      <c r="R57" s="35">
        <f>IFERROR((VLOOKUP($A57,[1]IRESS!$A$11:$AE$696,20,FALSE)/100)/N57,"n/a")</f>
        <v>5.8666666666666673E-2</v>
      </c>
      <c r="S57" s="226">
        <f>IFERROR(VLOOKUP($A57,[1]Morningstar!$A$2:$F$477,3,FALSE),"n/a")</f>
        <v>9.74E-2</v>
      </c>
      <c r="T57" s="35">
        <f>IFERROR(VLOOKUP($A57,[1]Morningstar!$A$2:$F$477,4,FALSE),"n/a")</f>
        <v>5.4100000000000002E-2</v>
      </c>
      <c r="U57" s="226" t="str">
        <f>IFERROR(VLOOKUP($A57,[1]Morningstar!$A$2:$F$477,5,FALSE),"n/a")</f>
        <v>n/a</v>
      </c>
      <c r="V57" s="35" t="str">
        <f>IFERROR(VLOOKUP($A57,[1]Morningstar!$A$2:$F$477,6,FALSE),"n/a")</f>
        <v>n/a</v>
      </c>
    </row>
    <row r="58" spans="1:22" s="233" customFormat="1">
      <c r="A58" s="213" t="s">
        <v>165</v>
      </c>
      <c r="B58" s="214"/>
      <c r="C58" s="214"/>
      <c r="D58" s="214"/>
      <c r="E58" s="9"/>
      <c r="F58" s="227"/>
      <c r="G58" s="227"/>
      <c r="H58" s="228"/>
      <c r="I58" s="228"/>
      <c r="J58" s="228"/>
      <c r="K58" s="229"/>
      <c r="L58" s="230"/>
      <c r="M58" s="7"/>
      <c r="N58" s="231"/>
      <c r="O58" s="231"/>
      <c r="P58" s="231"/>
      <c r="Q58" s="9"/>
      <c r="R58" s="232"/>
      <c r="S58" s="216"/>
      <c r="T58" s="216"/>
      <c r="U58" s="216"/>
      <c r="V58" s="214"/>
    </row>
    <row r="59" spans="1:22" ht="14.25" customHeight="1">
      <c r="A59" s="21" t="s">
        <v>670</v>
      </c>
      <c r="B59" s="219" t="s">
        <v>529</v>
      </c>
      <c r="C59" s="46" t="str">
        <f>VLOOKUP(A59,'[1]REIT Infra List'!$A$2:$B$56,2,FALSE)</f>
        <v>Ante Real Estate Trust</v>
      </c>
      <c r="D59" s="24"/>
      <c r="E59" s="9"/>
      <c r="F59" s="220">
        <f>_xlfn.IFNA(VLOOKUP(A59,'[1]REIT Infra List'!$A$2:$L$56,7,FALSE)/1000000,"n/a")</f>
        <v>0.63172247999999998</v>
      </c>
      <c r="G59" s="26">
        <f>_xlfn.IFNA(VLOOKUP(A59,'[1]REIT Infra List'!$A$2:$L$56,12,FALSE)/1000000,"n/a")</f>
        <v>0.58539616000000005</v>
      </c>
      <c r="H59" s="221">
        <f>_xlfn.IFNA(VLOOKUP(A59,[1]IRESS!$A$10:$F$875,5,FALSE),"n/a")</f>
        <v>2280.145</v>
      </c>
      <c r="I59" s="222">
        <f>_xlfn.IFNA(VLOOKUP(A59,[1]IRESS!$A$11:$G$674,7,FALSE),"n/a")</f>
        <v>826334</v>
      </c>
      <c r="J59" s="221">
        <f>_xlfn.IFNA(VLOOKUP(A59,[1]IRESS!$A$10:$F$875,4,FALSE),"n/a")</f>
        <v>12</v>
      </c>
      <c r="K59" s="223">
        <f t="shared" si="0"/>
        <v>3.6094093089737759E-3</v>
      </c>
      <c r="L59" s="224" t="e">
        <f>VLOOKUP(A59,[1]Spreads!$A$1:$G$87,7,FALSE)</f>
        <v>#N/A</v>
      </c>
      <c r="N59" s="225">
        <f>_xlfn.IFNA(VLOOKUP($A59,[1]IRESS!$A$11:$AE$696,6,FALSE)/100,"n/a")</f>
        <v>2E-3</v>
      </c>
      <c r="O59" s="32">
        <f>_xlfn.IFNA(VLOOKUP($A59,[1]IRESS!$A$11:$AE$696,21,FALSE)/100,"n/a")</f>
        <v>1.2E-2</v>
      </c>
      <c r="P59" s="225">
        <f>_xlfn.IFNA(VLOOKUP($A59,[1]IRESS!$A$11:$AE$696,22,FALSE)/100,"n/a")</f>
        <v>2E-3</v>
      </c>
      <c r="Q59" s="9"/>
      <c r="R59" s="35">
        <f>IFERROR((VLOOKUP($A59,[1]IRESS!$A$11:$AE$696,20,FALSE)/100)/N59,"n/a")</f>
        <v>0</v>
      </c>
      <c r="S59" s="226">
        <f>IFERROR(VLOOKUP($A59,[1]Morningstar!$A$2:$F$477,3,FALSE),"n/a")</f>
        <v>0</v>
      </c>
      <c r="T59" s="35">
        <f>IFERROR(VLOOKUP($A59,[1]Morningstar!$A$2:$F$477,4,FALSE),"n/a")</f>
        <v>-0.8478</v>
      </c>
      <c r="U59" s="226">
        <f>IFERROR(VLOOKUP($A59,[1]Morningstar!$A$2:$F$477,5,FALSE),"n/a")</f>
        <v>-0.75600000000000001</v>
      </c>
      <c r="V59" s="35">
        <f>IFERROR(VLOOKUP($A59,[1]Morningstar!$A$2:$F$477,6,FALSE),"n/a")</f>
        <v>-0.65269999999999995</v>
      </c>
    </row>
    <row r="60" spans="1:22" s="45" customFormat="1">
      <c r="A60" s="21" t="s">
        <v>671</v>
      </c>
      <c r="B60" s="219" t="s">
        <v>529</v>
      </c>
      <c r="C60" s="46" t="str">
        <f>VLOOKUP(A60,'[1]REIT Infra List'!$A$2:$B$56,2,FALSE)</f>
        <v>US Masters Residential Property Fund</v>
      </c>
      <c r="D60" s="24"/>
      <c r="E60" s="9"/>
      <c r="F60" s="220">
        <f>_xlfn.IFNA(VLOOKUP(A60,'[1]REIT Infra List'!$A$2:$L$56,7,FALSE)/1000000,"n/a")</f>
        <v>562.8684344400001</v>
      </c>
      <c r="G60" s="26">
        <f>_xlfn.IFNA(VLOOKUP(A60,'[1]REIT Infra List'!$A$2:$L$56,12,FALSE)/1000000,"n/a")</f>
        <v>-18.040654949999929</v>
      </c>
      <c r="H60" s="221">
        <f>_xlfn.IFNA(VLOOKUP(A60,[1]IRESS!$A$10:$F$875,5,FALSE),"n/a")</f>
        <v>3219024.2450000001</v>
      </c>
      <c r="I60" s="222">
        <f>_xlfn.IFNA(VLOOKUP(A60,[1]IRESS!$A$11:$G$674,7,FALSE),"n/a")</f>
        <v>2040086</v>
      </c>
      <c r="J60" s="221">
        <f>_xlfn.IFNA(VLOOKUP(A60,[1]IRESS!$A$10:$F$875,4,FALSE),"n/a")</f>
        <v>283</v>
      </c>
      <c r="K60" s="223">
        <f t="shared" si="0"/>
        <v>5.7189638786595302E-3</v>
      </c>
      <c r="L60" s="224" t="e">
        <f>VLOOKUP(A60,[1]Spreads!$A$1:$G$87,7,FALSE)</f>
        <v>#N/A</v>
      </c>
      <c r="M60" s="7"/>
      <c r="N60" s="225">
        <f>_xlfn.IFNA(VLOOKUP($A60,[1]IRESS!$A$11:$AE$696,6,FALSE)/100,"n/a")</f>
        <v>1.56</v>
      </c>
      <c r="O60" s="32">
        <f>_xlfn.IFNA(VLOOKUP($A60,[1]IRESS!$A$11:$AE$696,21,FALSE)/100,"n/a")</f>
        <v>1.87</v>
      </c>
      <c r="P60" s="225">
        <f>_xlfn.IFNA(VLOOKUP($A60,[1]IRESS!$A$11:$AE$696,22,FALSE)/100,"n/a")</f>
        <v>1.49</v>
      </c>
      <c r="Q60" s="9"/>
      <c r="R60" s="35">
        <f>IFERROR((VLOOKUP($A60,[1]IRESS!$A$11:$AE$696,20,FALSE)/100)/N60,"n/a")</f>
        <v>6.4102564102564111E-2</v>
      </c>
      <c r="S60" s="226">
        <f>IFERROR(VLOOKUP($A60,[1]Morningstar!$A$2:$F$477,3,FALSE),"n/a")</f>
        <v>-6.4999999999999997E-3</v>
      </c>
      <c r="T60" s="35">
        <f>IFERROR(VLOOKUP($A60,[1]Morningstar!$A$2:$F$477,4,FALSE),"n/a")</f>
        <v>-0.111</v>
      </c>
      <c r="U60" s="226">
        <f>IFERROR(VLOOKUP($A60,[1]Morningstar!$A$2:$F$477,5,FALSE),"n/a")</f>
        <v>-5.4699999999999999E-2</v>
      </c>
      <c r="V60" s="35">
        <f>IFERROR(VLOOKUP($A60,[1]Morningstar!$A$2:$F$477,6,FALSE),"n/a")</f>
        <v>2.12E-2</v>
      </c>
    </row>
    <row r="61" spans="1:22" s="45" customFormat="1">
      <c r="A61" s="21" t="s">
        <v>672</v>
      </c>
      <c r="B61" s="219" t="s">
        <v>529</v>
      </c>
      <c r="C61" s="46" t="str">
        <f>VLOOKUP(A61,'[1]REIT Infra List'!$A$2:$B$56,2,FALSE)</f>
        <v>Unibail-Rodamco-Westfield</v>
      </c>
      <c r="D61" s="24"/>
      <c r="E61" s="47"/>
      <c r="F61" s="220">
        <f>_xlfn.IFNA(VLOOKUP(A61,'[1]REIT Infra List'!$A$2:$L$56,7,FALSE)/1000000,"n/a")</f>
        <v>9707.0635962000015</v>
      </c>
      <c r="G61" s="26">
        <f>_xlfn.IFNA(VLOOKUP(A61,'[1]REIT Infra List'!$A$2:$L$56,12,FALSE)/1000000,"n/a")</f>
        <v>-494.80918739999964</v>
      </c>
      <c r="H61" s="234">
        <f>_xlfn.IFNA(VLOOKUP(A61,[1]IRESS!$A$10:$F$875,5,FALSE),"n/a")</f>
        <v>1154434885.8478107</v>
      </c>
      <c r="I61" s="28">
        <f>_xlfn.IFNA(VLOOKUP(A61,[1]IRESS!$A$11:$G$674,7,FALSE),"n/a")</f>
        <v>78367769</v>
      </c>
      <c r="J61" s="234">
        <f>_xlfn.IFNA(VLOOKUP(A61,[1]IRESS!$A$10:$F$875,4,FALSE),"n/a")</f>
        <v>135267</v>
      </c>
      <c r="K61" s="235">
        <f>IFERROR(+H61/(F61*1000000),"n/a")</f>
        <v>0.1189273022069964</v>
      </c>
      <c r="L61" s="104" t="e">
        <f>VLOOKUP(A61,[1]Spreads!$A$1:$G$87,7,FALSE)</f>
        <v>#N/A</v>
      </c>
      <c r="M61" s="64"/>
      <c r="N61" s="225">
        <f>_xlfn.IFNA(VLOOKUP($A61,[1]IRESS!$A$11:$AE$696,6,FALSE)/100,"n/a")</f>
        <v>14.67</v>
      </c>
      <c r="O61" s="32">
        <f>_xlfn.IFNA(VLOOKUP($A61,[1]IRESS!$A$11:$AE$696,21,FALSE)/100,"n/a")</f>
        <v>15.17</v>
      </c>
      <c r="P61" s="225">
        <f>_xlfn.IFNA(VLOOKUP($A61,[1]IRESS!$A$11:$AE$696,22,FALSE)/100,"n/a")</f>
        <v>14.4</v>
      </c>
      <c r="Q61" s="47"/>
      <c r="R61" s="35">
        <f>IFERROR((VLOOKUP($A61,[1]IRESS!$A$11:$AE$696,20,FALSE)/100)/N61,"n/a")</f>
        <v>0</v>
      </c>
      <c r="S61" s="226">
        <f>IFERROR(VLOOKUP($A61,[1]Morningstar!$A$2:$F$477,3,FALSE),"n/a")</f>
        <v>-2.7000000000000358E-5</v>
      </c>
      <c r="T61" s="35" t="str">
        <f>IFERROR(VLOOKUP($A61,[1]Morningstar!$A$2:$F$477,4,FALSE),"n/a")</f>
        <v>n/a</v>
      </c>
      <c r="U61" s="226" t="str">
        <f>IFERROR(VLOOKUP($A61,[1]Morningstar!$A$2:$F$477,5,FALSE),"n/a")</f>
        <v>n/a</v>
      </c>
      <c r="V61" s="35" t="str">
        <f>IFERROR(VLOOKUP($A61,[1]Morningstar!$A$2:$F$477,6,FALSE),"n/a")</f>
        <v>n/a</v>
      </c>
    </row>
    <row r="62" spans="1:22" s="205" customFormat="1">
      <c r="A62" s="213" t="s">
        <v>225</v>
      </c>
      <c r="B62" s="214"/>
      <c r="C62" s="214"/>
      <c r="D62" s="214"/>
      <c r="E62" s="9"/>
      <c r="F62" s="227"/>
      <c r="G62" s="227"/>
      <c r="H62" s="228"/>
      <c r="I62" s="228"/>
      <c r="J62" s="228"/>
      <c r="K62" s="229"/>
      <c r="L62" s="230"/>
      <c r="M62" s="7"/>
      <c r="N62" s="231"/>
      <c r="O62" s="231"/>
      <c r="P62" s="231"/>
      <c r="Q62" s="9"/>
      <c r="R62" s="232"/>
      <c r="S62" s="216"/>
      <c r="T62" s="216"/>
      <c r="U62" s="216"/>
      <c r="V62" s="214"/>
    </row>
    <row r="63" spans="1:22">
      <c r="A63" s="21" t="s">
        <v>226</v>
      </c>
      <c r="B63" s="219" t="s">
        <v>227</v>
      </c>
      <c r="C63" s="46" t="str">
        <f>VLOOKUP((A63&amp;".ASX"),[1]IRESS!$J$11:$R$681,8,FALSE)</f>
        <v>S&amp;P/ASX 200 Accumulation</v>
      </c>
      <c r="D63" s="24"/>
      <c r="E63" s="9"/>
      <c r="F63" s="220" t="str">
        <f>_xlfn.IFNA(VLOOKUP(A63,'[1]REIT Infra List'!$A$2:$L$56,7,FALSE)/1000000,"n/a")</f>
        <v>n/a</v>
      </c>
      <c r="G63" s="26" t="str">
        <f>_xlfn.IFNA(VLOOKUP(A63,'[1]REIT Infra List'!$A$2:$L$56,12,FALSE)/1000000,"n/a")</f>
        <v>n/a</v>
      </c>
      <c r="H63" s="221">
        <f>_xlfn.IFNA(VLOOKUP(A63,[1]IRESS!$A$10:$F$875,5,FALSE),"n/a")</f>
        <v>0</v>
      </c>
      <c r="I63" s="222">
        <f>_xlfn.IFNA(VLOOKUP(A63,[1]IRESS!$A$11:$G$674,7,FALSE),"n/a")</f>
        <v>0</v>
      </c>
      <c r="J63" s="221">
        <f>_xlfn.IFNA(VLOOKUP(A63,[1]IRESS!$A$10:$F$875,4,FALSE),"n/a")</f>
        <v>0</v>
      </c>
      <c r="K63" s="223" t="str">
        <f t="shared" si="0"/>
        <v>n/a</v>
      </c>
      <c r="L63" s="224" t="e">
        <f>VLOOKUP(A63,[1]Spreads!$A$1:$G$87,7,FALSE)</f>
        <v>#N/A</v>
      </c>
      <c r="N63" s="225">
        <f>VLOOKUP(($A63&amp;".ASX"),[1]IRESS!$AF$11:$AG$681,2,FALSE)</f>
        <v>63015.407839308253</v>
      </c>
      <c r="O63" s="32">
        <f>VLOOKUP($A63,[1]IRESS!$A$11:$AE$696,21,FALSE)</f>
        <v>63270.451990326314</v>
      </c>
      <c r="P63" s="225">
        <f>VLOOKUP($A63,[1]IRESS!$A$11:$AE$696,22,FALSE)</f>
        <v>55296.57681594212</v>
      </c>
      <c r="Q63" s="9"/>
      <c r="R63" s="35"/>
      <c r="S63" s="226">
        <f>IFERROR(($N63-VLOOKUP($A63,[1]IRESS!$A$11:$AE$696,25,FALSE))/(VLOOKUP($A63,[1]IRESS!$A$11:$AE$696,25,FALSE)),"n/a")</f>
        <v>3.7461315862249253E-2</v>
      </c>
      <c r="T63" s="35">
        <f>IFERROR(($N63-VLOOKUP($A63,[1]IRESS!$A$11:$AE$696,27,FALSE))/(VLOOKUP($A63,[1]IRESS!$A$11:$AE$696,27,FALSE)),"n/a")</f>
        <v>0.13014760443980347</v>
      </c>
      <c r="U63" s="226">
        <f>IFERROR((($N63/VLOOKUP($A63,[1]IRESS!$A$11:$AE$696,29,FALSE))^(1/3)-1),"n/a")</f>
        <v>9.0427391805817159E-2</v>
      </c>
      <c r="V63" s="35">
        <f>IFERROR((($N63/VLOOKUP($A63,[1]IRESS!$A$11:$AE$696,31,FALSE))^(1/5)-1),"n/a")</f>
        <v>9.9799624905136719E-2</v>
      </c>
    </row>
    <row r="64" spans="1:22">
      <c r="A64" s="21" t="s">
        <v>228</v>
      </c>
      <c r="B64" s="219" t="s">
        <v>227</v>
      </c>
      <c r="C64" s="46" t="str">
        <f>VLOOKUP((A64&amp;".ASX"),[1]IRESS!$J$11:$R$681,8,FALSE)</f>
        <v>S&amp;P/ASX Small Ords Accumulation</v>
      </c>
      <c r="D64" s="24"/>
      <c r="E64" s="9"/>
      <c r="F64" s="220" t="str">
        <f>_xlfn.IFNA(VLOOKUP(A64,'[1]REIT Infra List'!$A$2:$L$56,7,FALSE)/1000000,"n/a")</f>
        <v>n/a</v>
      </c>
      <c r="G64" s="26" t="str">
        <f>_xlfn.IFNA(VLOOKUP(A64,'[1]REIT Infra List'!$A$2:$L$56,12,FALSE)/1000000,"n/a")</f>
        <v>n/a</v>
      </c>
      <c r="H64" s="221">
        <f>_xlfn.IFNA(VLOOKUP(A64,[1]IRESS!$A$10:$F$875,5,FALSE),"n/a")</f>
        <v>0</v>
      </c>
      <c r="I64" s="222">
        <f>_xlfn.IFNA(VLOOKUP(A64,[1]IRESS!$A$11:$G$674,7,FALSE),"n/a")</f>
        <v>0</v>
      </c>
      <c r="J64" s="221">
        <f>_xlfn.IFNA(VLOOKUP(A64,[1]IRESS!$A$10:$F$875,4,FALSE),"n/a")</f>
        <v>0</v>
      </c>
      <c r="K64" s="223" t="str">
        <f t="shared" si="0"/>
        <v>n/a</v>
      </c>
      <c r="L64" s="224" t="e">
        <f>VLOOKUP(A64,[1]Spreads!$A$1:$G$87,7,FALSE)</f>
        <v>#N/A</v>
      </c>
      <c r="N64" s="225">
        <f>VLOOKUP(($A64&amp;".ASX"),[1]IRESS!$AF$11:$AG$681,2,FALSE)</f>
        <v>8140.5090054170332</v>
      </c>
      <c r="O64" s="32">
        <f>VLOOKUP($A64,[1]IRESS!$A$11:$AE$696,21,FALSE)/100</f>
        <v>82.857830213919186</v>
      </c>
      <c r="P64" s="225">
        <f>VLOOKUP($A64,[1]IRESS!$A$11:$AE$696,22,FALSE)/100</f>
        <v>64.883292450688103</v>
      </c>
      <c r="Q64" s="9"/>
      <c r="R64" s="35"/>
      <c r="S64" s="226">
        <f>IFERROR(($N64-VLOOKUP($A64,[1]IRESS!$A$11:$AE$696,25,FALSE))/(VLOOKUP($A64,[1]IRESS!$A$11:$AE$696,25,FALSE)),"n/a")</f>
        <v>2.089624394647829E-2</v>
      </c>
      <c r="T64" s="35">
        <f>IFERROR(($N64-VLOOKUP($A64,[1]IRESS!$A$11:$AE$696,27,FALSE))/(VLOOKUP($A64,[1]IRESS!$A$11:$AE$696,27,FALSE)),"n/a")</f>
        <v>0.24246215053522574</v>
      </c>
      <c r="U64" s="226">
        <f>IFERROR((($N64/VLOOKUP($A64,[1]IRESS!$A$11:$AE$696,29,FALSE))^(1/3)-1),"n/a")</f>
        <v>0.15005367378215362</v>
      </c>
      <c r="V64" s="35">
        <f>IFERROR((($N64/VLOOKUP($A64,[1]IRESS!$A$11:$AE$696,31,FALSE))^(1/5)-1),"n/a")</f>
        <v>0.11562181573593877</v>
      </c>
    </row>
    <row r="65" spans="1:22">
      <c r="A65" s="21" t="s">
        <v>229</v>
      </c>
      <c r="B65" s="219" t="s">
        <v>227</v>
      </c>
      <c r="C65" s="46" t="str">
        <f>VLOOKUP((A65&amp;".ASX"),[1]IRESS!$J$11:$R$681,8,FALSE)</f>
        <v>S&amp;P/ASX 200 A-REIT Accumulation</v>
      </c>
      <c r="D65" s="24"/>
      <c r="E65" s="9"/>
      <c r="F65" s="220" t="str">
        <f>_xlfn.IFNA(VLOOKUP(A65,'[1]REIT Infra List'!$A$2:$L$56,7,FALSE)/1000000,"n/a")</f>
        <v>n/a</v>
      </c>
      <c r="G65" s="26" t="str">
        <f>_xlfn.IFNA(VLOOKUP(A65,'[1]REIT Infra List'!$A$2:$L$56,12,FALSE)/1000000,"n/a")</f>
        <v>n/a</v>
      </c>
      <c r="H65" s="221">
        <f>_xlfn.IFNA(VLOOKUP(A65,[1]IRESS!$A$10:$F$875,5,FALSE),"n/a")</f>
        <v>0</v>
      </c>
      <c r="I65" s="222">
        <f>_xlfn.IFNA(VLOOKUP(A65,[1]IRESS!$A$11:$G$674,7,FALSE),"n/a")</f>
        <v>0</v>
      </c>
      <c r="J65" s="221">
        <f>_xlfn.IFNA(VLOOKUP(A65,[1]IRESS!$A$10:$F$875,4,FALSE),"n/a")</f>
        <v>0</v>
      </c>
      <c r="K65" s="223" t="str">
        <f t="shared" si="0"/>
        <v>n/a</v>
      </c>
      <c r="L65" s="224" t="e">
        <f>VLOOKUP(A65,[1]Spreads!$A$1:$G$87,7,FALSE)</f>
        <v>#N/A</v>
      </c>
      <c r="N65" s="225">
        <f>VLOOKUP(($A65&amp;".ASX"),[1]IRESS!$AF$11:$AG$681,2,FALSE)</f>
        <v>48604.905129330422</v>
      </c>
      <c r="O65" s="32">
        <f>VLOOKUP($A65,[1]IRESS!$A$11:$AE$696,21,FALSE)/100</f>
        <v>490.78929650724524</v>
      </c>
      <c r="P65" s="225">
        <f>VLOOKUP($A65,[1]IRESS!$A$11:$AE$696,22,FALSE)/100</f>
        <v>414.6468147361839</v>
      </c>
      <c r="Q65" s="9"/>
      <c r="R65" s="35"/>
      <c r="S65" s="226">
        <f>IFERROR(($N65-VLOOKUP($A65,[1]IRESS!$A$11:$AE$696,25,FALSE))/(VLOOKUP($A65,[1]IRESS!$A$11:$AE$696,25,FALSE)),"n/a")</f>
        <v>2.3338225544838796E-2</v>
      </c>
      <c r="T65" s="35">
        <f>IFERROR(($N65-VLOOKUP($A65,[1]IRESS!$A$11:$AE$696,27,FALSE))/(VLOOKUP($A65,[1]IRESS!$A$11:$AE$696,27,FALSE)),"n/a")</f>
        <v>0.13038443354059726</v>
      </c>
      <c r="U65" s="226">
        <f>IFERROR((($N65/VLOOKUP($A65,[1]IRESS!$A$11:$AE$696,29,FALSE))^(1/3)-1),"n/a")</f>
        <v>9.6953604547080019E-2</v>
      </c>
      <c r="V65" s="35">
        <f>IFERROR((($N65/VLOOKUP($A65,[1]IRESS!$A$11:$AE$696,31,FALSE))^(1/5)-1),"n/a")</f>
        <v>0.12009433339785569</v>
      </c>
    </row>
    <row r="66" spans="1:22">
      <c r="A66" s="21" t="s">
        <v>230</v>
      </c>
      <c r="B66" s="219" t="s">
        <v>227</v>
      </c>
      <c r="C66" s="46" t="str">
        <f>VLOOKUP((A66&amp;".ASX"),[1]IRESS!$J$11:$R$681,8,FALSE)</f>
        <v>S&amp;P/ASX Infrastructure Index Accumulation</v>
      </c>
      <c r="D66" s="24"/>
      <c r="E66" s="9"/>
      <c r="F66" s="220" t="str">
        <f>_xlfn.IFNA(VLOOKUP(A66,'[1]REIT Infra List'!$A$2:$L$56,7,FALSE)/1000000,"n/a")</f>
        <v>n/a</v>
      </c>
      <c r="G66" s="26" t="str">
        <f>_xlfn.IFNA(VLOOKUP(A66,'[1]REIT Infra List'!$A$2:$L$56,12,FALSE)/1000000,"n/a")</f>
        <v>n/a</v>
      </c>
      <c r="H66" s="221">
        <f>_xlfn.IFNA(VLOOKUP(A66,[1]IRESS!$A$10:$F$875,5,FALSE),"n/a")</f>
        <v>0</v>
      </c>
      <c r="I66" s="222">
        <f>_xlfn.IFNA(VLOOKUP(A66,[1]IRESS!$A$11:$G$674,7,FALSE),"n/a")</f>
        <v>0</v>
      </c>
      <c r="J66" s="221">
        <f>_xlfn.IFNA(VLOOKUP(A66,[1]IRESS!$A$10:$F$875,4,FALSE),"n/a")</f>
        <v>0</v>
      </c>
      <c r="K66" s="223" t="str">
        <f t="shared" si="0"/>
        <v>n/a</v>
      </c>
      <c r="L66" s="224" t="e">
        <f>VLOOKUP(A66,[1]Spreads!$A$1:$G$87,7,FALSE)</f>
        <v>#N/A</v>
      </c>
      <c r="N66" s="225">
        <f>VLOOKUP(($A66&amp;".ASX"),[1]IRESS!$AF$11:$AG$681,2,FALSE)</f>
        <v>443.84317103253943</v>
      </c>
      <c r="O66" s="32">
        <f>VLOOKUP($A66,[1]IRESS!$A$11:$AE$696,21,FALSE)/100</f>
        <v>4.4791295489044334</v>
      </c>
      <c r="P66" s="225">
        <f>VLOOKUP($A66,[1]IRESS!$A$11:$AE$696,22,FALSE)/100</f>
        <v>3.8786031043183882</v>
      </c>
      <c r="Q66" s="9"/>
      <c r="R66" s="35"/>
      <c r="S66" s="226">
        <f>IFERROR(($N66-VLOOKUP($A66,[1]IRESS!$A$11:$AE$696,25,FALSE))/(VLOOKUP($A66,[1]IRESS!$A$11:$AE$696,25,FALSE)),"n/a")</f>
        <v>6.1343358299678984E-2</v>
      </c>
      <c r="T66" s="35">
        <f>IFERROR(($N66-VLOOKUP($A66,[1]IRESS!$A$11:$AE$696,27,FALSE))/(VLOOKUP($A66,[1]IRESS!$A$11:$AE$696,27,FALSE)),"n/a")</f>
        <v>8.7252714164183509E-2</v>
      </c>
      <c r="U66" s="226">
        <f>IFERROR((($N66/VLOOKUP($A66,[1]IRESS!$A$11:$AE$696,29,FALSE))^(1/3)-1),"n/a")</f>
        <v>0.11668931747853328</v>
      </c>
      <c r="V66" s="35">
        <f>IFERROR((($N66/VLOOKUP($A66,[1]IRESS!$A$11:$AE$696,31,FALSE))^(1/5)-1),"n/a")</f>
        <v>0.13738343638890416</v>
      </c>
    </row>
    <row r="67" spans="1:22">
      <c r="A67" s="21" t="s">
        <v>231</v>
      </c>
      <c r="B67" s="219" t="s">
        <v>227</v>
      </c>
      <c r="C67" s="46" t="str">
        <f>VLOOKUP((A67&amp;".ASX"),[1]IRESS!$J$11:$R$681,8,FALSE)</f>
        <v>S&amp;P/ASX Aust Fixed Int Idx Total Return</v>
      </c>
      <c r="D67" s="24"/>
      <c r="E67" s="9"/>
      <c r="F67" s="220" t="str">
        <f>_xlfn.IFNA(VLOOKUP(A67,'[1]REIT Infra List'!$A$2:$L$56,7,FALSE)/1000000,"n/a")</f>
        <v>n/a</v>
      </c>
      <c r="G67" s="26" t="str">
        <f>_xlfn.IFNA(VLOOKUP(A67,'[1]REIT Infra List'!$A$2:$L$56,12,FALSE)/1000000,"n/a")</f>
        <v>n/a</v>
      </c>
      <c r="H67" s="221">
        <f>_xlfn.IFNA(VLOOKUP(A67,[1]IRESS!$A$10:$F$875,5,FALSE),"n/a")</f>
        <v>0</v>
      </c>
      <c r="I67" s="222">
        <f>_xlfn.IFNA(VLOOKUP(A67,[1]IRESS!$A$11:$G$674,7,FALSE),"n/a")</f>
        <v>0</v>
      </c>
      <c r="J67" s="221">
        <f>_xlfn.IFNA(VLOOKUP(A67,[1]IRESS!$A$10:$F$875,4,FALSE),"n/a")</f>
        <v>0</v>
      </c>
      <c r="K67" s="223" t="str">
        <f t="shared" si="0"/>
        <v>n/a</v>
      </c>
      <c r="L67" s="224" t="e">
        <f>VLOOKUP(A67,[1]Spreads!$A$1:$G$87,7,FALSE)</f>
        <v>#N/A</v>
      </c>
      <c r="N67" s="225">
        <f>VLOOKUP(($A67&amp;".ASX"),[1]IRESS!$AF$11:$AG$681,2,FALSE)</f>
        <v>145.96627000000001</v>
      </c>
      <c r="O67" s="32">
        <f>VLOOKUP($A67,[1]IRESS!$A$11:$AE$696,21,FALSE)/100</f>
        <v>0</v>
      </c>
      <c r="P67" s="225">
        <f>VLOOKUP($A67,[1]IRESS!$A$11:$AE$696,22,FALSE)/100</f>
        <v>0</v>
      </c>
      <c r="Q67" s="9"/>
      <c r="R67" s="35"/>
      <c r="S67" s="226">
        <f>IFERROR(($N67-VLOOKUP($A67,[1]IRESS!$A$11:$AE$696,25,FALSE))/(VLOOKUP($A67,[1]IRESS!$A$11:$AE$696,25,FALSE)),"n/a")</f>
        <v>4.114933339221926E-3</v>
      </c>
      <c r="T67" s="35">
        <f>IFERROR(($N67-VLOOKUP($A67,[1]IRESS!$A$11:$AE$696,27,FALSE))/(VLOOKUP($A67,[1]IRESS!$A$11:$AE$696,27,FALSE)),"n/a")</f>
        <v>3.1123896548440579E-2</v>
      </c>
      <c r="U67" s="226">
        <f>IFERROR((($N67/VLOOKUP($A67,[1]IRESS!$A$11:$AE$696,29,FALSE))^(1/3)-1),"n/a")</f>
        <v>3.4877316646126921E-2</v>
      </c>
      <c r="V67" s="35">
        <f>IFERROR((($N67/VLOOKUP($A67,[1]IRESS!$A$11:$AE$696,31,FALSE))^(1/5)-1),"n/a")</f>
        <v>4.561934533266454E-2</v>
      </c>
    </row>
    <row r="68" spans="1:22">
      <c r="A68" s="21" t="s">
        <v>232</v>
      </c>
      <c r="B68" s="219" t="s">
        <v>227</v>
      </c>
      <c r="C68" s="46" t="str">
        <f>VLOOKUP((A68&amp;".ASX"),[1]IRESS!$J$11:$R$681,8,FALSE)</f>
        <v>S&amp;P/ASX Govt Bond Idx Total Return</v>
      </c>
      <c r="D68" s="24"/>
      <c r="E68" s="9"/>
      <c r="F68" s="220" t="str">
        <f>_xlfn.IFNA(VLOOKUP(A68,'[1]REIT Infra List'!$A$2:$L$56,7,FALSE)/1000000,"n/a")</f>
        <v>n/a</v>
      </c>
      <c r="G68" s="26" t="str">
        <f>_xlfn.IFNA(VLOOKUP(A68,'[1]REIT Infra List'!$A$2:$L$56,12,FALSE)/1000000,"n/a")</f>
        <v>n/a</v>
      </c>
      <c r="H68" s="221">
        <f>_xlfn.IFNA(VLOOKUP(A68,[1]IRESS!$A$10:$F$875,5,FALSE),"n/a")</f>
        <v>0</v>
      </c>
      <c r="I68" s="222">
        <f>_xlfn.IFNA(VLOOKUP(A68,[1]IRESS!$A$11:$G$674,7,FALSE),"n/a")</f>
        <v>0</v>
      </c>
      <c r="J68" s="221">
        <f>_xlfn.IFNA(VLOOKUP(A68,[1]IRESS!$A$10:$F$875,4,FALSE),"n/a")</f>
        <v>0</v>
      </c>
      <c r="K68" s="223" t="str">
        <f t="shared" si="0"/>
        <v>n/a</v>
      </c>
      <c r="L68" s="224" t="e">
        <f>VLOOKUP(A68,[1]Spreads!$A$1:$G$87,7,FALSE)</f>
        <v>#N/A</v>
      </c>
      <c r="N68" s="225">
        <f>VLOOKUP(($A68&amp;".ASX"),[1]IRESS!$AF$11:$AG$681,2,FALSE)</f>
        <v>145.29893000000001</v>
      </c>
      <c r="O68" s="32">
        <f>VLOOKUP($A68,[1]IRESS!$A$11:$AE$696,21,FALSE)/100</f>
        <v>0</v>
      </c>
      <c r="P68" s="225">
        <f>VLOOKUP($A68,[1]IRESS!$A$11:$AE$696,22,FALSE)/100</f>
        <v>0</v>
      </c>
      <c r="Q68" s="9"/>
      <c r="R68" s="35"/>
      <c r="S68" s="226">
        <f>IFERROR(($N68-VLOOKUP($A68,[1]IRESS!$A$11:$AE$696,25,FALSE))/(VLOOKUP($A68,[1]IRESS!$A$11:$AE$696,25,FALSE)),"n/a")</f>
        <v>4.4473217766890479E-3</v>
      </c>
      <c r="T68" s="35">
        <f>IFERROR(($N68-VLOOKUP($A68,[1]IRESS!$A$11:$AE$696,27,FALSE))/(VLOOKUP($A68,[1]IRESS!$A$11:$AE$696,27,FALSE)),"n/a")</f>
        <v>3.0246793785261752E-2</v>
      </c>
      <c r="U68" s="226">
        <f>IFERROR((($N68/VLOOKUP($A68,[1]IRESS!$A$11:$AE$696,29,FALSE))^(1/3)-1),"n/a")</f>
        <v>3.415756002952075E-2</v>
      </c>
      <c r="V68" s="35">
        <f>IFERROR((($N68/VLOOKUP($A68,[1]IRESS!$A$11:$AE$696,31,FALSE))^(1/5)-1),"n/a")</f>
        <v>4.4846946944204102E-2</v>
      </c>
    </row>
    <row r="69" spans="1:22" ht="11.25" customHeight="1">
      <c r="A69" s="66"/>
      <c r="C69" s="66"/>
      <c r="D69" s="66"/>
      <c r="E69" s="9"/>
      <c r="F69" s="63"/>
      <c r="G69" s="63"/>
    </row>
    <row r="70" spans="1:22" ht="19.5" customHeight="1">
      <c r="A70" s="236" t="s">
        <v>673</v>
      </c>
      <c r="B70" s="236"/>
      <c r="C70" s="236"/>
      <c r="D70" s="236"/>
      <c r="E70" s="236"/>
      <c r="F70" s="236"/>
      <c r="G70" s="236"/>
      <c r="H70" s="236"/>
      <c r="I70" s="236"/>
      <c r="J70" s="236"/>
      <c r="K70" s="236"/>
      <c r="L70" s="236"/>
      <c r="M70" s="236"/>
      <c r="N70" s="236"/>
      <c r="O70" s="236"/>
      <c r="P70" s="236"/>
      <c r="Q70" s="236"/>
      <c r="R70" s="236"/>
      <c r="S70" s="236"/>
      <c r="T70" s="236"/>
      <c r="U70" s="236"/>
      <c r="V70" s="236"/>
    </row>
    <row r="71" spans="1:22" ht="11.25" customHeight="1">
      <c r="A71" s="236"/>
      <c r="B71" s="236"/>
      <c r="C71" s="236"/>
      <c r="D71" s="236"/>
      <c r="E71" s="236"/>
      <c r="F71" s="236"/>
      <c r="G71" s="236"/>
      <c r="H71" s="236"/>
      <c r="I71" s="236"/>
      <c r="J71" s="236"/>
      <c r="K71" s="236"/>
      <c r="L71" s="236"/>
      <c r="M71" s="236"/>
      <c r="N71" s="236"/>
      <c r="O71" s="236"/>
      <c r="P71" s="236"/>
      <c r="Q71" s="236"/>
      <c r="R71" s="236"/>
      <c r="S71" s="236"/>
      <c r="T71" s="236"/>
      <c r="U71" s="236"/>
      <c r="V71" s="236"/>
    </row>
    <row r="72" spans="1:22">
      <c r="A72" s="76" t="str">
        <f>"All values are as at "&amp;TEXT([1]Setup!$K$4,"mmm-yy")&amp;". Month Total return, 1/3&amp;5 year annualised return data provided by Morningstar. NTA is last reported value"</f>
        <v>All values are as at Jun-18. Month Total return, 1/3&amp;5 year annualised return data provided by Morningstar. NTA is last reported value</v>
      </c>
      <c r="C72" s="91"/>
      <c r="D72" s="94"/>
      <c r="E72" s="94"/>
    </row>
    <row r="73" spans="1:22" ht="11.25" customHeight="1">
      <c r="A73" s="66"/>
    </row>
    <row r="75" spans="1:22" ht="18.75">
      <c r="A75" s="197" t="s">
        <v>239</v>
      </c>
    </row>
    <row r="115" spans="1:15">
      <c r="A115" s="63"/>
      <c r="B115" s="63"/>
      <c r="C115" s="63"/>
      <c r="D115" s="199"/>
      <c r="E115" s="199"/>
      <c r="F115" s="63"/>
      <c r="G115" s="63"/>
      <c r="H115" s="63"/>
      <c r="I115" s="63"/>
      <c r="J115" s="63"/>
      <c r="K115" s="63"/>
      <c r="L115" s="63"/>
      <c r="M115" s="63"/>
      <c r="N115" s="63"/>
      <c r="O115" s="63"/>
    </row>
    <row r="116" spans="1:15">
      <c r="A116" s="63"/>
      <c r="B116" s="63"/>
      <c r="C116" s="63"/>
      <c r="D116" s="199"/>
      <c r="E116" s="199"/>
      <c r="F116" s="63"/>
      <c r="G116" s="63"/>
      <c r="H116" s="63"/>
      <c r="I116" s="63"/>
      <c r="J116" s="63"/>
      <c r="K116" s="63"/>
      <c r="L116" s="63"/>
      <c r="M116" s="63"/>
      <c r="N116" s="63"/>
      <c r="O116" s="63"/>
    </row>
    <row r="117" spans="1:15">
      <c r="A117" s="63"/>
      <c r="B117" s="66"/>
      <c r="C117" s="66"/>
      <c r="D117" s="89"/>
      <c r="E117" s="89"/>
      <c r="F117" s="63"/>
      <c r="G117" s="63"/>
      <c r="H117" s="63"/>
      <c r="I117" s="63"/>
      <c r="J117" s="63"/>
      <c r="K117" s="63"/>
      <c r="L117" s="63"/>
      <c r="M117" s="63"/>
      <c r="N117" s="63"/>
      <c r="O117" s="63"/>
    </row>
    <row r="118" spans="1:15">
      <c r="A118" s="66"/>
      <c r="B118" s="66"/>
      <c r="C118" s="66"/>
      <c r="D118" s="89"/>
      <c r="E118" s="89"/>
      <c r="F118" s="63"/>
      <c r="G118" s="63"/>
      <c r="H118" s="63"/>
      <c r="I118" s="63"/>
      <c r="J118" s="63"/>
      <c r="K118" s="63"/>
      <c r="L118" s="63"/>
      <c r="M118" s="63"/>
      <c r="N118" s="63"/>
      <c r="O118" s="63"/>
    </row>
    <row r="119" spans="1:15">
      <c r="A119" s="91"/>
      <c r="B119" s="91"/>
      <c r="C119" s="91"/>
      <c r="D119" s="94"/>
      <c r="E119" s="94"/>
    </row>
    <row r="120" spans="1:15">
      <c r="A120" s="91"/>
      <c r="B120" s="91"/>
      <c r="C120" s="91"/>
      <c r="D120" s="94"/>
      <c r="E120" s="94"/>
    </row>
    <row r="121" spans="1:15">
      <c r="A121" s="91"/>
      <c r="B121" s="91"/>
      <c r="C121" s="91"/>
      <c r="D121" s="94"/>
      <c r="E121" s="94"/>
    </row>
    <row r="122" spans="1:15">
      <c r="A122" s="91"/>
      <c r="B122" s="94"/>
      <c r="C122" s="91"/>
      <c r="D122" s="94"/>
      <c r="E122" s="94"/>
    </row>
    <row r="123" spans="1:15">
      <c r="A123" s="94"/>
      <c r="B123" s="94"/>
      <c r="C123" s="91"/>
      <c r="D123" s="94"/>
      <c r="E123" s="94"/>
    </row>
    <row r="124" spans="1:15">
      <c r="A124" s="94"/>
      <c r="B124" s="91"/>
      <c r="C124" s="202"/>
      <c r="D124" s="203"/>
      <c r="E124" s="203"/>
    </row>
    <row r="125" spans="1:15">
      <c r="A125" s="91"/>
      <c r="B125" s="91"/>
      <c r="C125" s="91"/>
      <c r="D125" s="94"/>
      <c r="E125" s="94"/>
    </row>
    <row r="126" spans="1:15">
      <c r="A126" s="91"/>
      <c r="B126" s="91"/>
      <c r="C126" s="91"/>
      <c r="D126" s="94"/>
      <c r="E126" s="94"/>
    </row>
    <row r="127" spans="1:15" ht="13.5" customHeight="1">
      <c r="A127" s="91"/>
      <c r="B127" s="91"/>
      <c r="C127" s="91"/>
      <c r="D127" s="94"/>
      <c r="E127" s="94"/>
    </row>
    <row r="128" spans="1:15">
      <c r="A128" s="91"/>
      <c r="B128" s="91"/>
      <c r="C128" s="91"/>
      <c r="D128" s="94"/>
      <c r="E128" s="94"/>
    </row>
    <row r="129" spans="1:5">
      <c r="A129" s="91"/>
      <c r="B129" s="91"/>
      <c r="C129" s="91"/>
      <c r="D129" s="94"/>
      <c r="E129" s="94"/>
    </row>
    <row r="130" spans="1:5">
      <c r="A130" s="91"/>
      <c r="B130" s="94"/>
      <c r="C130" s="91"/>
      <c r="D130" s="94"/>
      <c r="E130" s="94"/>
    </row>
    <row r="131" spans="1:5">
      <c r="A131" s="94"/>
      <c r="B131" s="94"/>
      <c r="C131" s="91"/>
      <c r="D131" s="94"/>
      <c r="E131" s="94"/>
    </row>
    <row r="132" spans="1:5">
      <c r="A132" s="94"/>
      <c r="B132" s="91"/>
      <c r="C132" s="91"/>
      <c r="D132" s="94"/>
      <c r="E132" s="94"/>
    </row>
    <row r="133" spans="1:5">
      <c r="A133" s="91"/>
      <c r="B133" s="91"/>
      <c r="C133" s="91"/>
      <c r="D133" s="94"/>
      <c r="E133" s="94"/>
    </row>
    <row r="134" spans="1:5">
      <c r="A134" s="91"/>
      <c r="B134" s="91"/>
      <c r="C134" s="91"/>
      <c r="D134" s="94"/>
      <c r="E134" s="94"/>
    </row>
    <row r="135" spans="1:5">
      <c r="A135" s="91"/>
      <c r="B135" s="91"/>
      <c r="C135" s="91"/>
      <c r="D135" s="94"/>
      <c r="E135" s="94"/>
    </row>
    <row r="136" spans="1:5">
      <c r="A136" s="91"/>
      <c r="B136" s="91"/>
      <c r="C136" s="91"/>
      <c r="D136" s="94"/>
      <c r="E136" s="94"/>
    </row>
    <row r="137" spans="1:5">
      <c r="A137" s="91"/>
      <c r="B137" s="91"/>
      <c r="C137" s="91"/>
      <c r="D137" s="94"/>
      <c r="E137" s="94"/>
    </row>
    <row r="138" spans="1:5">
      <c r="A138" s="91"/>
      <c r="B138" s="94"/>
      <c r="C138" s="91"/>
      <c r="D138" s="94"/>
      <c r="E138" s="94"/>
    </row>
    <row r="139" spans="1:5">
      <c r="A139" s="94"/>
      <c r="B139" s="94"/>
      <c r="C139" s="91"/>
      <c r="D139" s="94"/>
      <c r="E139" s="94"/>
    </row>
    <row r="140" spans="1:5">
      <c r="A140" s="94"/>
      <c r="B140" s="91"/>
      <c r="C140" s="91"/>
      <c r="D140" s="94"/>
      <c r="E140" s="94"/>
    </row>
    <row r="141" spans="1:5">
      <c r="A141" s="91"/>
      <c r="B141" s="91"/>
      <c r="C141" s="91"/>
      <c r="D141" s="94"/>
      <c r="E141" s="94"/>
    </row>
    <row r="142" spans="1:5">
      <c r="A142" s="91"/>
      <c r="B142" s="91"/>
      <c r="C142" s="91"/>
      <c r="D142" s="94"/>
      <c r="E142" s="94"/>
    </row>
    <row r="143" spans="1:5">
      <c r="A143" s="91"/>
      <c r="B143" s="91"/>
      <c r="C143" s="91"/>
      <c r="D143" s="94"/>
      <c r="E143" s="94"/>
    </row>
    <row r="144" spans="1:5">
      <c r="A144" s="91"/>
      <c r="B144" s="91"/>
      <c r="C144" s="91"/>
      <c r="D144" s="94"/>
      <c r="E144" s="94"/>
    </row>
    <row r="145" spans="1:5">
      <c r="A145" s="91"/>
      <c r="B145" s="91"/>
      <c r="C145" s="91"/>
      <c r="D145" s="94"/>
      <c r="E145" s="94"/>
    </row>
    <row r="146" spans="1:5">
      <c r="A146" s="91"/>
      <c r="B146" s="94"/>
      <c r="C146" s="91"/>
      <c r="D146" s="94"/>
      <c r="E146" s="94"/>
    </row>
    <row r="147" spans="1:5">
      <c r="A147" s="94"/>
      <c r="B147" s="94"/>
      <c r="C147" s="91"/>
      <c r="D147" s="94"/>
      <c r="E147" s="94"/>
    </row>
    <row r="148" spans="1:5">
      <c r="A148" s="94"/>
      <c r="B148" s="91"/>
      <c r="C148" s="91"/>
      <c r="D148" s="94"/>
      <c r="E148" s="94"/>
    </row>
    <row r="149" spans="1:5">
      <c r="A149" s="91"/>
      <c r="B149" s="91"/>
      <c r="C149" s="91"/>
      <c r="D149" s="94"/>
      <c r="E149" s="94"/>
    </row>
    <row r="150" spans="1:5">
      <c r="A150" s="91"/>
      <c r="B150" s="91"/>
      <c r="C150" s="91"/>
      <c r="D150" s="94"/>
      <c r="E150" s="94"/>
    </row>
    <row r="151" spans="1:5">
      <c r="A151" s="91"/>
      <c r="B151" s="91"/>
      <c r="C151" s="91"/>
      <c r="D151" s="94"/>
      <c r="E151" s="94"/>
    </row>
    <row r="152" spans="1:5">
      <c r="A152" s="91"/>
      <c r="B152" s="91"/>
      <c r="C152" s="91"/>
      <c r="D152" s="94"/>
      <c r="E152" s="94"/>
    </row>
    <row r="153" spans="1:5">
      <c r="A153" s="91"/>
      <c r="B153" s="91"/>
      <c r="C153" s="91"/>
      <c r="D153" s="94"/>
      <c r="E153" s="94"/>
    </row>
    <row r="154" spans="1:5">
      <c r="A154" s="91"/>
      <c r="B154" s="94"/>
      <c r="C154" s="91"/>
      <c r="D154" s="94"/>
      <c r="E154" s="94"/>
    </row>
    <row r="155" spans="1:5">
      <c r="A155" s="94"/>
      <c r="B155" s="94"/>
      <c r="C155" s="91"/>
      <c r="D155" s="94"/>
      <c r="E155" s="94"/>
    </row>
    <row r="156" spans="1:5">
      <c r="A156" s="94"/>
      <c r="B156" s="91"/>
      <c r="C156" s="91"/>
      <c r="D156" s="94"/>
      <c r="E156" s="94"/>
    </row>
    <row r="157" spans="1:5">
      <c r="A157" s="91"/>
      <c r="B157" s="91"/>
      <c r="C157" s="91"/>
      <c r="D157" s="94"/>
      <c r="E157" s="94"/>
    </row>
    <row r="158" spans="1:5">
      <c r="A158" s="91"/>
      <c r="B158" s="91"/>
      <c r="C158" s="91"/>
      <c r="D158" s="94"/>
      <c r="E158" s="94"/>
    </row>
    <row r="159" spans="1:5">
      <c r="A159" s="91"/>
      <c r="B159" s="91"/>
      <c r="C159" s="91"/>
      <c r="D159" s="94"/>
      <c r="E159" s="94"/>
    </row>
    <row r="160" spans="1:5">
      <c r="A160" s="91"/>
      <c r="B160" s="91"/>
      <c r="C160" s="91"/>
      <c r="D160" s="94"/>
      <c r="E160" s="94"/>
    </row>
    <row r="161" spans="1:5">
      <c r="A161" s="91"/>
      <c r="C161" s="91"/>
      <c r="D161" s="94"/>
      <c r="E161" s="94"/>
    </row>
    <row r="162" spans="1:5">
      <c r="C162" s="91"/>
      <c r="D162" s="94"/>
      <c r="E162" s="94"/>
    </row>
    <row r="163" spans="1:5">
      <c r="C163" s="91"/>
      <c r="D163" s="94"/>
      <c r="E163" s="94"/>
    </row>
    <row r="164" spans="1:5">
      <c r="C164" s="91"/>
      <c r="D164" s="94"/>
      <c r="E164" s="94"/>
    </row>
  </sheetData>
  <mergeCells count="2">
    <mergeCell ref="C11:D11"/>
    <mergeCell ref="A70:V71"/>
  </mergeCells>
  <printOptions horizontalCentered="1"/>
  <pageMargins left="0" right="0" top="0" bottom="0" header="0.15748031496062992" footer="3.937007874015748E-2"/>
  <pageSetup paperSize="9" scale="72"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9CCFF"/>
    <pageSetUpPr fitToPage="1"/>
  </sheetPr>
  <dimension ref="A1:AA122"/>
  <sheetViews>
    <sheetView showGridLines="0" view="pageBreakPreview" zoomScale="70" zoomScaleNormal="85" zoomScaleSheetLayoutView="70" zoomScalePageLayoutView="55" workbookViewId="0">
      <selection activeCell="T46" sqref="T46"/>
    </sheetView>
  </sheetViews>
  <sheetFormatPr defaultColWidth="9" defaultRowHeight="15"/>
  <cols>
    <col min="1" max="1" width="9" style="243" customWidth="1"/>
    <col min="2" max="2" width="5.5" style="243" customWidth="1"/>
    <col min="3" max="3" width="11" style="243" customWidth="1"/>
    <col min="4" max="4" width="30.75" style="266" customWidth="1"/>
    <col min="5" max="5" width="0.5" style="266" customWidth="1"/>
    <col min="6" max="6" width="7.5" style="243" customWidth="1"/>
    <col min="7" max="7" width="8.125" style="243" customWidth="1"/>
    <col min="8" max="8" width="11.875" style="243" customWidth="1"/>
    <col min="9" max="9" width="10.625" style="243" customWidth="1"/>
    <col min="10" max="11" width="8.5" style="243" customWidth="1"/>
    <col min="12" max="12" width="7.625" style="243" hidden="1" customWidth="1"/>
    <col min="13" max="13" width="9.875" style="243" bestFit="1" customWidth="1"/>
    <col min="14" max="14" width="0.5" style="243" customWidth="1"/>
    <col min="15" max="15" width="9" style="243"/>
    <col min="16" max="16" width="11" style="243" customWidth="1"/>
    <col min="17" max="17" width="9" style="243"/>
    <col min="18" max="18" width="0.5" style="243" customWidth="1"/>
    <col min="19" max="19" width="10.375" style="243" customWidth="1"/>
    <col min="20" max="16384" width="9" style="243"/>
  </cols>
  <sheetData>
    <row r="1" spans="1:27" s="239" customFormat="1">
      <c r="A1" s="237"/>
      <c r="B1" s="237"/>
      <c r="C1" s="237"/>
      <c r="D1" s="238"/>
      <c r="E1" s="237"/>
      <c r="F1" s="237"/>
      <c r="G1" s="237"/>
      <c r="H1" s="237"/>
      <c r="I1" s="237"/>
      <c r="J1" s="237"/>
      <c r="K1" s="237"/>
      <c r="L1" s="237"/>
      <c r="M1" s="237"/>
      <c r="N1" s="237"/>
      <c r="O1" s="237"/>
      <c r="P1" s="237"/>
      <c r="Q1" s="237"/>
      <c r="R1" s="237"/>
      <c r="S1" s="237"/>
      <c r="T1" s="237"/>
      <c r="U1" s="237"/>
      <c r="V1" s="237"/>
      <c r="W1" s="237"/>
    </row>
    <row r="2" spans="1:27" s="239" customFormat="1">
      <c r="A2" s="240"/>
      <c r="B2" s="240"/>
      <c r="C2" s="240"/>
      <c r="D2" s="241"/>
      <c r="E2" s="240"/>
      <c r="F2" s="240"/>
      <c r="G2" s="240"/>
      <c r="H2" s="240"/>
      <c r="I2" s="240"/>
      <c r="J2" s="240"/>
      <c r="K2" s="240"/>
      <c r="L2" s="240"/>
      <c r="M2" s="240"/>
      <c r="N2" s="240"/>
      <c r="O2" s="240"/>
      <c r="P2" s="240"/>
      <c r="Q2" s="240"/>
      <c r="R2" s="240"/>
      <c r="S2" s="240"/>
      <c r="T2" s="240"/>
      <c r="U2" s="240"/>
      <c r="V2" s="240"/>
      <c r="W2" s="240"/>
    </row>
    <row r="3" spans="1:27" s="239" customFormat="1" ht="14.45" customHeight="1">
      <c r="A3" s="240"/>
      <c r="B3" s="240"/>
      <c r="C3" s="240"/>
      <c r="D3" s="242"/>
      <c r="E3" s="242"/>
      <c r="F3" s="242"/>
      <c r="G3" s="242"/>
      <c r="H3" s="242"/>
      <c r="I3" s="242"/>
      <c r="J3" s="242"/>
      <c r="K3" s="242"/>
      <c r="L3" s="242"/>
      <c r="M3" s="242"/>
      <c r="N3" s="240"/>
      <c r="O3" s="240"/>
      <c r="P3" s="240"/>
      <c r="Q3" s="240"/>
      <c r="R3" s="240"/>
      <c r="S3" s="240"/>
      <c r="T3" s="240"/>
      <c r="U3" s="240"/>
      <c r="V3" s="240"/>
      <c r="W3" s="240"/>
    </row>
    <row r="4" spans="1:27" s="239" customFormat="1" ht="14.45" customHeight="1">
      <c r="A4" s="240"/>
      <c r="B4" s="240"/>
      <c r="C4" s="240"/>
      <c r="D4" s="242"/>
      <c r="E4" s="242"/>
      <c r="F4" s="242"/>
      <c r="G4" s="242"/>
      <c r="H4" s="242"/>
      <c r="I4" s="242"/>
      <c r="J4" s="242"/>
      <c r="K4" s="242"/>
      <c r="L4" s="242"/>
      <c r="M4" s="242"/>
      <c r="N4" s="240"/>
      <c r="O4" s="240"/>
      <c r="P4" s="240"/>
      <c r="Q4" s="240"/>
      <c r="R4" s="240"/>
      <c r="S4" s="240"/>
      <c r="T4" s="240"/>
      <c r="U4" s="240"/>
      <c r="V4" s="240"/>
      <c r="W4" s="240"/>
    </row>
    <row r="5" spans="1:27" s="239" customFormat="1" ht="14.45" customHeight="1">
      <c r="A5" s="240"/>
      <c r="B5" s="240"/>
      <c r="C5" s="240"/>
      <c r="D5" s="242"/>
      <c r="E5" s="242"/>
      <c r="F5" s="242"/>
      <c r="G5" s="242"/>
      <c r="H5" s="242"/>
      <c r="I5" s="242"/>
      <c r="J5" s="242"/>
      <c r="K5" s="242"/>
      <c r="L5" s="242"/>
      <c r="M5" s="242"/>
      <c r="N5" s="240"/>
      <c r="O5" s="240"/>
      <c r="P5" s="240"/>
      <c r="Q5" s="240"/>
      <c r="R5" s="240"/>
      <c r="S5" s="240"/>
      <c r="T5" s="240"/>
      <c r="U5" s="240"/>
      <c r="V5" s="240"/>
      <c r="W5" s="240"/>
    </row>
    <row r="6" spans="1:27" s="239" customFormat="1" ht="14.45" customHeight="1">
      <c r="A6" s="240"/>
      <c r="B6" s="240"/>
      <c r="C6" s="240"/>
      <c r="D6" s="242"/>
      <c r="E6" s="242"/>
      <c r="F6" s="242"/>
      <c r="G6" s="242"/>
      <c r="H6" s="242"/>
      <c r="I6" s="242"/>
      <c r="J6" s="242"/>
      <c r="K6" s="242"/>
      <c r="L6" s="242"/>
      <c r="M6" s="242"/>
      <c r="N6" s="240"/>
      <c r="O6" s="240"/>
      <c r="P6" s="240"/>
      <c r="Q6" s="240"/>
      <c r="R6" s="240"/>
      <c r="S6" s="240"/>
      <c r="T6" s="240"/>
      <c r="U6" s="240"/>
      <c r="V6" s="240"/>
      <c r="W6" s="240"/>
    </row>
    <row r="7" spans="1:27" ht="11.25" customHeight="1">
      <c r="A7" s="240"/>
      <c r="B7" s="240"/>
      <c r="C7" s="240"/>
      <c r="D7" s="240"/>
      <c r="E7" s="240"/>
      <c r="F7" s="240"/>
      <c r="G7" s="240"/>
      <c r="H7" s="240"/>
      <c r="I7" s="240"/>
      <c r="J7" s="240"/>
      <c r="K7" s="240"/>
      <c r="L7" s="240"/>
      <c r="M7" s="240"/>
      <c r="N7" s="240"/>
      <c r="O7" s="240"/>
      <c r="P7" s="240"/>
      <c r="Q7" s="240"/>
      <c r="R7" s="240"/>
      <c r="S7" s="240"/>
      <c r="T7" s="240"/>
      <c r="U7" s="240"/>
      <c r="V7" s="240"/>
      <c r="W7" s="240"/>
    </row>
    <row r="8" spans="1:27" ht="11.25" customHeight="1">
      <c r="A8" s="240"/>
      <c r="B8" s="240"/>
      <c r="C8" s="240"/>
      <c r="D8" s="240"/>
      <c r="E8" s="240"/>
      <c r="F8" s="240"/>
      <c r="G8" s="240"/>
      <c r="H8" s="240"/>
      <c r="I8" s="240"/>
      <c r="J8" s="240"/>
      <c r="K8" s="240"/>
      <c r="L8" s="240"/>
      <c r="M8" s="240"/>
      <c r="N8" s="240"/>
      <c r="O8" s="240"/>
      <c r="P8" s="240"/>
      <c r="Q8" s="240"/>
      <c r="R8" s="240"/>
      <c r="S8" s="240"/>
      <c r="T8" s="240"/>
      <c r="U8" s="240"/>
      <c r="V8" s="240"/>
      <c r="W8" s="240"/>
    </row>
    <row r="9" spans="1:27" s="9" customFormat="1" ht="18" customHeight="1">
      <c r="A9" s="8" t="str">
        <f>"Infrastructure Summary - "&amp;TEXT([1]Setup!$K$2,"mmmm yyyy")</f>
        <v>Infrastructure Summary - June 2018</v>
      </c>
      <c r="W9" s="10" t="str">
        <f>"Transaction days: "&amp;[1]Setup!$K$8&amp;" / Period ending: "&amp;TEXT([1]Setup!$K$4,"dddd, dd mmmm yyyy")</f>
        <v>Transaction days: 23 / Period ending: Friday, 29 June 2018</v>
      </c>
    </row>
    <row r="10" spans="1:27" s="245" customFormat="1" ht="18.75">
      <c r="A10" s="244" t="s">
        <v>674</v>
      </c>
      <c r="E10" s="47"/>
      <c r="F10" s="244" t="s">
        <v>1</v>
      </c>
      <c r="N10" s="9"/>
      <c r="O10" s="244" t="s">
        <v>2</v>
      </c>
      <c r="R10" s="9"/>
      <c r="S10" s="244" t="s">
        <v>3</v>
      </c>
      <c r="X10" s="246"/>
      <c r="Y10" s="246"/>
      <c r="Z10" s="246"/>
      <c r="AA10" s="246"/>
    </row>
    <row r="11" spans="1:27" ht="47.25" customHeight="1">
      <c r="A11" s="13" t="s">
        <v>4</v>
      </c>
      <c r="B11" s="13" t="s">
        <v>241</v>
      </c>
      <c r="C11" s="97" t="s">
        <v>6</v>
      </c>
      <c r="D11" s="98"/>
      <c r="E11" s="247"/>
      <c r="F11" s="17" t="s">
        <v>675</v>
      </c>
      <c r="G11" s="17" t="s">
        <v>623</v>
      </c>
      <c r="H11" s="17" t="s">
        <v>11</v>
      </c>
      <c r="I11" s="17" t="s">
        <v>12</v>
      </c>
      <c r="J11" s="17" t="s">
        <v>13</v>
      </c>
      <c r="K11" s="17" t="s">
        <v>14</v>
      </c>
      <c r="L11" s="172" t="s">
        <v>504</v>
      </c>
      <c r="M11" s="17" t="s">
        <v>676</v>
      </c>
      <c r="N11" s="9"/>
      <c r="O11" s="17" t="s">
        <v>18</v>
      </c>
      <c r="P11" s="17" t="s">
        <v>19</v>
      </c>
      <c r="Q11" s="17" t="s">
        <v>20</v>
      </c>
      <c r="R11" s="9"/>
      <c r="S11" s="18" t="s">
        <v>21</v>
      </c>
      <c r="T11" s="18" t="s">
        <v>22</v>
      </c>
      <c r="U11" s="18" t="s">
        <v>23</v>
      </c>
      <c r="V11" s="18" t="s">
        <v>24</v>
      </c>
      <c r="W11" s="18" t="s">
        <v>25</v>
      </c>
    </row>
    <row r="12" spans="1:27" s="253" customFormat="1" ht="14.25" customHeight="1">
      <c r="A12" s="248" t="s">
        <v>155</v>
      </c>
      <c r="B12" s="249"/>
      <c r="C12" s="249"/>
      <c r="D12" s="249"/>
      <c r="E12" s="247"/>
      <c r="F12" s="250"/>
      <c r="G12" s="249"/>
      <c r="H12" s="249"/>
      <c r="I12" s="249"/>
      <c r="J12" s="249"/>
      <c r="K12" s="249"/>
      <c r="L12" s="249"/>
      <c r="M12" s="249"/>
      <c r="N12" s="9"/>
      <c r="O12" s="250"/>
      <c r="P12" s="251"/>
      <c r="Q12" s="251"/>
      <c r="R12" s="9"/>
      <c r="S12" s="252"/>
      <c r="T12" s="251"/>
      <c r="U12" s="251"/>
      <c r="V12" s="251"/>
      <c r="W12" s="249"/>
    </row>
    <row r="13" spans="1:27" ht="14.25" customHeight="1">
      <c r="A13" s="21" t="s">
        <v>677</v>
      </c>
      <c r="B13" s="254" t="s">
        <v>625</v>
      </c>
      <c r="C13" s="46" t="str">
        <f>VLOOKUP(A13,'[1]REIT Infra List'!$A$2:$B$56,2,FALSE)</f>
        <v>APA Group</v>
      </c>
      <c r="D13" s="24"/>
      <c r="E13" s="247"/>
      <c r="F13" s="255">
        <f>VLOOKUP(A13,'[1]REIT Infra List'!$A$2:$L$56,7,FALSE)/1000000</f>
        <v>11621.9544028</v>
      </c>
      <c r="G13" s="26">
        <f>VLOOKUP(A13,'[1]REIT Infra List'!$A$2:$L$56,12,FALSE)/1000000</f>
        <v>1368.6768636800002</v>
      </c>
      <c r="H13" s="256">
        <f>VLOOKUP(A13,[1]IRESS!$A$10:$F$875,5,FALSE)</f>
        <v>1141537802.6092985</v>
      </c>
      <c r="I13" s="222">
        <f>VLOOKUP(A13,[1]IRESS!$A$11:$G$339,7,FALSE)</f>
        <v>118850352</v>
      </c>
      <c r="J13" s="256">
        <f>VLOOKUP(A13,[1]IRESS!$A$10:$F$875,4,FALSE)</f>
        <v>190512</v>
      </c>
      <c r="K13" s="223">
        <f t="shared" ref="K13:K19" si="0">+H13/(F13*1000000)</f>
        <v>9.8222533237118492E-2</v>
      </c>
      <c r="L13" s="224" t="e">
        <f>VLOOKUP(A13,[1]Spreads!$A$1:$G$87,7,FALSE)</f>
        <v>#N/A</v>
      </c>
      <c r="M13" s="257"/>
      <c r="N13" s="9"/>
      <c r="O13" s="32">
        <f>VLOOKUP($A13,[1]IRESS!$A$11:$AE$696,6,FALSE)/100</f>
        <v>9.85</v>
      </c>
      <c r="P13" s="258">
        <f>VLOOKUP($A13,[1]IRESS!$A$11:$AE$696,21,FALSE)/100</f>
        <v>10.29</v>
      </c>
      <c r="Q13" s="32">
        <f>VLOOKUP($A13,[1]IRESS!$A$11:$AE$696,22,FALSE)/100</f>
        <v>7.59</v>
      </c>
      <c r="R13" s="9"/>
      <c r="S13" s="259">
        <f>IFERROR((VLOOKUP($A13,[1]IRESS!$A$11:$AE$696,20,FALSE)/100)/O13,"n/a")</f>
        <v>4.5604264494126225E-2</v>
      </c>
      <c r="T13" s="35">
        <f>IFERROR(VLOOKUP($A13,[1]Morningstar!$A$2:$F$477,3,FALSE),"n/a")</f>
        <v>0.19739999999999999</v>
      </c>
      <c r="U13" s="259">
        <f>IFERROR(VLOOKUP($A13,[1]Morningstar!$A$2:$F$477,4,FALSE),"n/a")</f>
        <v>0.1321</v>
      </c>
      <c r="V13" s="35">
        <f>IFERROR(VLOOKUP($A13,[1]Morningstar!$A$2:$F$477,5,FALSE),"n/a")</f>
        <v>0.1145</v>
      </c>
      <c r="W13" s="259">
        <f>IFERROR(VLOOKUP($A13,[1]Morningstar!$A$2:$F$477,6,FALSE),"n/a")</f>
        <v>0.17019999999999999</v>
      </c>
    </row>
    <row r="14" spans="1:27" ht="14.25" customHeight="1">
      <c r="A14" s="21" t="s">
        <v>678</v>
      </c>
      <c r="B14" s="254" t="s">
        <v>625</v>
      </c>
      <c r="C14" s="46" t="str">
        <f>VLOOKUP(A14,'[1]REIT Infra List'!$A$2:$B$56,2,FALSE)</f>
        <v>AusNet Services Limited</v>
      </c>
      <c r="D14" s="24"/>
      <c r="E14" s="247"/>
      <c r="F14" s="255">
        <f>VLOOKUP(A14,'[1]REIT Infra List'!$A$2:$L$56,7,FALSE)/1000000</f>
        <v>5801.0265578250001</v>
      </c>
      <c r="G14" s="26">
        <f>VLOOKUP(A14,'[1]REIT Infra List'!$A$2:$L$56,12,FALSE)/1000000</f>
        <v>-72.286935300000195</v>
      </c>
      <c r="H14" s="256">
        <f>VLOOKUP(A14,[1]IRESS!$A$10:$F$875,5,FALSE)</f>
        <v>291936323.91549999</v>
      </c>
      <c r="I14" s="222">
        <f>VLOOKUP(A14,[1]IRESS!$A$11:$G$339,7,FALSE)</f>
        <v>186023769</v>
      </c>
      <c r="J14" s="256">
        <f>VLOOKUP(A14,[1]IRESS!$A$10:$F$875,4,FALSE)</f>
        <v>102959</v>
      </c>
      <c r="K14" s="223">
        <f t="shared" si="0"/>
        <v>5.0324941802189702E-2</v>
      </c>
      <c r="L14" s="224" t="e">
        <f>VLOOKUP(A14,[1]Spreads!$A$1:$G$87,7,FALSE)</f>
        <v>#N/A</v>
      </c>
      <c r="M14" s="257"/>
      <c r="N14" s="9"/>
      <c r="O14" s="32">
        <f>VLOOKUP($A14,[1]IRESS!$A$11:$AE$696,6,FALSE)/100</f>
        <v>1.605</v>
      </c>
      <c r="P14" s="258">
        <f>VLOOKUP($A14,[1]IRESS!$A$11:$AE$696,21,FALSE)/100</f>
        <v>1.9550000000000001</v>
      </c>
      <c r="Q14" s="32">
        <f>VLOOKUP($A14,[1]IRESS!$A$11:$AE$696,22,FALSE)/100</f>
        <v>1.5</v>
      </c>
      <c r="R14" s="9"/>
      <c r="S14" s="259">
        <f>IFERROR((VLOOKUP($A14,[1]IRESS!$A$11:$AE$696,20,FALSE)/100)/O14,"n/a")</f>
        <v>5.763239875389408E-2</v>
      </c>
      <c r="T14" s="35">
        <f>IFERROR(VLOOKUP($A14,[1]Morningstar!$A$2:$F$477,3,FALSE),"n/a")</f>
        <v>-9.1999999999999998E-3</v>
      </c>
      <c r="U14" s="259">
        <f>IFERROR(VLOOKUP($A14,[1]Morningstar!$A$2:$F$477,4,FALSE),"n/a")</f>
        <v>-2.5100000000000001E-2</v>
      </c>
      <c r="V14" s="35">
        <f>IFERROR(VLOOKUP($A14,[1]Morningstar!$A$2:$F$477,5,FALSE),"n/a")</f>
        <v>0.108</v>
      </c>
      <c r="W14" s="259">
        <f>IFERROR(VLOOKUP($A14,[1]Morningstar!$A$2:$F$477,6,FALSE),"n/a")</f>
        <v>0.1221</v>
      </c>
    </row>
    <row r="15" spans="1:27" ht="14.25" customHeight="1">
      <c r="A15" s="21" t="s">
        <v>679</v>
      </c>
      <c r="B15" s="254" t="s">
        <v>625</v>
      </c>
      <c r="C15" s="46" t="str">
        <f>VLOOKUP(A15,'[1]REIT Infra List'!$A$2:$B$56,2,FALSE)</f>
        <v>Infigen Energy</v>
      </c>
      <c r="D15" s="24"/>
      <c r="E15" s="247"/>
      <c r="F15" s="255">
        <f>VLOOKUP(A15,'[1]REIT Infra List'!$A$2:$L$56,7,FALSE)/1000000</f>
        <v>629.67971550000004</v>
      </c>
      <c r="G15" s="26">
        <f>VLOOKUP(A15,'[1]REIT Infra List'!$A$2:$L$56,12,FALSE)/1000000</f>
        <v>-81.095114874999993</v>
      </c>
      <c r="H15" s="256">
        <f>VLOOKUP(A15,[1]IRESS!$A$10:$F$875,5,FALSE)</f>
        <v>33337120.449000005</v>
      </c>
      <c r="I15" s="222">
        <f>VLOOKUP(A15,[1]IRESS!$A$11:$G$339,7,FALSE)</f>
        <v>47880088</v>
      </c>
      <c r="J15" s="256">
        <f>VLOOKUP(A15,[1]IRESS!$A$10:$F$875,4,FALSE)</f>
        <v>18398</v>
      </c>
      <c r="K15" s="223">
        <f t="shared" si="0"/>
        <v>5.2942979785411244E-2</v>
      </c>
      <c r="L15" s="224" t="e">
        <f>VLOOKUP(A15,[1]Spreads!$A$1:$G$87,7,FALSE)</f>
        <v>#N/A</v>
      </c>
      <c r="M15" s="257"/>
      <c r="N15" s="9"/>
      <c r="O15" s="32">
        <f>VLOOKUP($A15,[1]IRESS!$A$11:$AE$696,6,FALSE)/100</f>
        <v>0.66</v>
      </c>
      <c r="P15" s="258">
        <f>VLOOKUP($A15,[1]IRESS!$A$11:$AE$696,21,FALSE)/100</f>
        <v>0.82499999999999996</v>
      </c>
      <c r="Q15" s="32">
        <f>VLOOKUP($A15,[1]IRESS!$A$11:$AE$696,22,FALSE)/100</f>
        <v>0.56000000000000005</v>
      </c>
      <c r="R15" s="9"/>
      <c r="S15" s="259">
        <f>IFERROR((VLOOKUP($A15,[1]IRESS!$A$11:$AE$696,20,FALSE)/100)/O15,"n/a")</f>
        <v>0</v>
      </c>
      <c r="T15" s="35">
        <f>IFERROR(VLOOKUP($A15,[1]Morningstar!$A$2:$F$477,3,FALSE),"n/a")</f>
        <v>-0.114</v>
      </c>
      <c r="U15" s="259">
        <f>IFERROR(VLOOKUP($A15,[1]Morningstar!$A$2:$F$477,4,FALSE),"n/a")</f>
        <v>-9.5899999999999999E-2</v>
      </c>
      <c r="V15" s="35">
        <f>IFERROR(VLOOKUP($A15,[1]Morningstar!$A$2:$F$477,5,FALSE),"n/a")</f>
        <v>0.28170000000000001</v>
      </c>
      <c r="W15" s="259">
        <f>IFERROR(VLOOKUP($A15,[1]Morningstar!$A$2:$F$477,6,FALSE),"n/a")</f>
        <v>0.2145</v>
      </c>
    </row>
    <row r="16" spans="1:27" ht="14.25" customHeight="1">
      <c r="A16" s="21" t="s">
        <v>680</v>
      </c>
      <c r="B16" s="254" t="s">
        <v>625</v>
      </c>
      <c r="C16" s="46" t="str">
        <f>VLOOKUP(A16,'[1]REIT Infra List'!$A$2:$B$56,2,FALSE)</f>
        <v>Atlas Arteria</v>
      </c>
      <c r="D16" s="24"/>
      <c r="E16" s="247"/>
      <c r="F16" s="255">
        <f>VLOOKUP(A16,'[1]REIT Infra List'!$A$2:$L$56,7,FALSE)/1000000</f>
        <v>4306.7404729499995</v>
      </c>
      <c r="G16" s="26">
        <f>VLOOKUP(A16,'[1]REIT Infra List'!$A$2:$L$56,12,FALSE)/1000000</f>
        <v>-147.35348430000019</v>
      </c>
      <c r="H16" s="256">
        <f>VLOOKUP(A16,[1]IRESS!$A$10:$F$875,5,FALSE)</f>
        <v>483932004.76510006</v>
      </c>
      <c r="I16" s="222">
        <f>VLOOKUP(A16,[1]IRESS!$A$11:$G$339,7,FALSE)</f>
        <v>73452856</v>
      </c>
      <c r="J16" s="256">
        <f>VLOOKUP(A16,[1]IRESS!$A$10:$F$875,4,FALSE)</f>
        <v>110967</v>
      </c>
      <c r="K16" s="223">
        <f t="shared" si="0"/>
        <v>0.11236618686559022</v>
      </c>
      <c r="L16" s="224" t="e">
        <f>VLOOKUP(A16,[1]Spreads!$A$1:$G$87,7,FALSE)</f>
        <v>#N/A</v>
      </c>
      <c r="M16" s="257"/>
      <c r="N16" s="9"/>
      <c r="O16" s="32">
        <f>VLOOKUP($A16,[1]IRESS!$A$11:$AE$696,6,FALSE)/100</f>
        <v>6.43</v>
      </c>
      <c r="P16" s="258">
        <f>VLOOKUP($A16,[1]IRESS!$A$11:$AE$696,21,FALSE)/100</f>
        <v>6.94</v>
      </c>
      <c r="Q16" s="32">
        <f>VLOOKUP($A16,[1]IRESS!$A$11:$AE$696,22,FALSE)/100</f>
        <v>5.18</v>
      </c>
      <c r="R16" s="9"/>
      <c r="S16" s="259">
        <f>IFERROR((VLOOKUP($A16,[1]IRESS!$A$11:$AE$696,20,FALSE)/100)/O16,"n/a")</f>
        <v>3.4214618973561435E-2</v>
      </c>
      <c r="T16" s="35">
        <f>IFERROR(VLOOKUP($A16,[1]Morningstar!$A$2:$F$477,3,FALSE),"n/a")</f>
        <v>-1.5299999999999999E-2</v>
      </c>
      <c r="U16" s="259">
        <f>IFERROR(VLOOKUP($A16,[1]Morningstar!$A$2:$F$477,4,FALSE),"n/a")</f>
        <v>0.18920000000000001</v>
      </c>
      <c r="V16" s="35">
        <f>IFERROR(VLOOKUP($A16,[1]Morningstar!$A$2:$F$477,5,FALSE),"n/a")</f>
        <v>0.3256</v>
      </c>
      <c r="W16" s="259">
        <f>IFERROR(VLOOKUP($A16,[1]Morningstar!$A$2:$F$477,6,FALSE),"n/a")</f>
        <v>0.33119999999999999</v>
      </c>
    </row>
    <row r="17" spans="1:23" ht="14.25" customHeight="1">
      <c r="A17" s="21" t="s">
        <v>681</v>
      </c>
      <c r="B17" s="254" t="s">
        <v>625</v>
      </c>
      <c r="C17" s="46" t="str">
        <f>VLOOKUP(A17,'[1]REIT Infra List'!$A$2:$B$56,2,FALSE)</f>
        <v>Spark Infrastructure Group</v>
      </c>
      <c r="D17" s="24"/>
      <c r="E17" s="247"/>
      <c r="F17" s="255">
        <f>VLOOKUP(A17,'[1]REIT Infra List'!$A$2:$L$56,7,FALSE)/1000000</f>
        <v>3834.9850298399997</v>
      </c>
      <c r="G17" s="26">
        <f>VLOOKUP(A17,'[1]REIT Infra List'!$A$2:$L$56,12,FALSE)/1000000</f>
        <v>134.56087823999928</v>
      </c>
      <c r="H17" s="256">
        <f>VLOOKUP(A17,[1]IRESS!$A$10:$F$875,5,FALSE)</f>
        <v>274002564.5650388</v>
      </c>
      <c r="I17" s="222">
        <f>VLOOKUP(A17,[1]IRESS!$A$11:$G$339,7,FALSE)</f>
        <v>121518903</v>
      </c>
      <c r="J17" s="256">
        <f>VLOOKUP(A17,[1]IRESS!$A$10:$F$875,4,FALSE)</f>
        <v>50590</v>
      </c>
      <c r="K17" s="223">
        <f t="shared" si="0"/>
        <v>7.1448144499398611E-2</v>
      </c>
      <c r="L17" s="224" t="e">
        <f>VLOOKUP(A17,[1]Spreads!$A$1:$G$87,7,FALSE)</f>
        <v>#N/A</v>
      </c>
      <c r="M17" s="257"/>
      <c r="N17" s="9"/>
      <c r="O17" s="32">
        <f>VLOOKUP($A17,[1]IRESS!$A$11:$AE$696,6,FALSE)/100</f>
        <v>2.2799999999999998</v>
      </c>
      <c r="P17" s="258">
        <f>VLOOKUP($A17,[1]IRESS!$A$11:$AE$696,21,FALSE)/100</f>
        <v>2.75</v>
      </c>
      <c r="Q17" s="32">
        <f>VLOOKUP($A17,[1]IRESS!$A$11:$AE$696,22,FALSE)/100</f>
        <v>2.125</v>
      </c>
      <c r="R17" s="9"/>
      <c r="S17" s="259">
        <f>IFERROR((VLOOKUP($A17,[1]IRESS!$A$11:$AE$696,20,FALSE)/100)/O17,"n/a")</f>
        <v>6.6885964912280702E-2</v>
      </c>
      <c r="T17" s="35">
        <f>IFERROR(VLOOKUP($A17,[1]Morningstar!$A$2:$F$477,3,FALSE),"n/a")</f>
        <v>4.58E-2</v>
      </c>
      <c r="U17" s="259">
        <f>IFERROR(VLOOKUP($A17,[1]Morningstar!$A$2:$F$477,4,FALSE),"n/a")</f>
        <v>-7.46E-2</v>
      </c>
      <c r="V17" s="35">
        <f>IFERROR(VLOOKUP($A17,[1]Morningstar!$A$2:$F$477,5,FALSE),"n/a")</f>
        <v>0.12280000000000001</v>
      </c>
      <c r="W17" s="259">
        <f>IFERROR(VLOOKUP($A17,[1]Morningstar!$A$2:$F$477,6,FALSE),"n/a")</f>
        <v>0.1255</v>
      </c>
    </row>
    <row r="18" spans="1:23" ht="14.25" customHeight="1">
      <c r="A18" s="21" t="s">
        <v>682</v>
      </c>
      <c r="B18" s="254" t="s">
        <v>625</v>
      </c>
      <c r="C18" s="46" t="str">
        <f>VLOOKUP(A18,'[1]REIT Infra List'!$A$2:$B$56,2,FALSE)</f>
        <v>Sydney Airport</v>
      </c>
      <c r="D18" s="24"/>
      <c r="E18" s="247"/>
      <c r="F18" s="255">
        <f>VLOOKUP(A18,'[1]REIT Infra List'!$A$2:$L$56,7,FALSE)/1000000</f>
        <v>16133.006755440001</v>
      </c>
      <c r="G18" s="26">
        <f>VLOOKUP(A18,'[1]REIT Infra List'!$A$2:$L$56,12,FALSE)/1000000</f>
        <v>-270.38558807999993</v>
      </c>
      <c r="H18" s="256">
        <f>VLOOKUP(A18,[1]IRESS!$A$10:$F$875,5,FALSE)</f>
        <v>915241462.68275464</v>
      </c>
      <c r="I18" s="222">
        <f>VLOOKUP(A18,[1]IRESS!$A$11:$G$339,7,FALSE)</f>
        <v>124336514</v>
      </c>
      <c r="J18" s="256">
        <f>VLOOKUP(A18,[1]IRESS!$A$10:$F$875,4,FALSE)</f>
        <v>136249</v>
      </c>
      <c r="K18" s="223">
        <f t="shared" si="0"/>
        <v>5.6730991101465823E-2</v>
      </c>
      <c r="L18" s="224" t="e">
        <f>VLOOKUP(A18,[1]Spreads!$A$1:$G$87,7,FALSE)</f>
        <v>#N/A</v>
      </c>
      <c r="M18" s="257"/>
      <c r="N18" s="9"/>
      <c r="O18" s="32">
        <f>VLOOKUP($A18,[1]IRESS!$A$11:$AE$696,6,FALSE)/100</f>
        <v>7.16</v>
      </c>
      <c r="P18" s="258">
        <f>VLOOKUP($A18,[1]IRESS!$A$11:$AE$696,21,FALSE)/100</f>
        <v>7.62</v>
      </c>
      <c r="Q18" s="32">
        <f>VLOOKUP($A18,[1]IRESS!$A$11:$AE$696,22,FALSE)/100</f>
        <v>6.31</v>
      </c>
      <c r="R18" s="9"/>
      <c r="S18" s="259">
        <f>IFERROR((VLOOKUP($A18,[1]IRESS!$A$11:$AE$696,20,FALSE)/100)/O18,"n/a")</f>
        <v>5.0977653631284911E-2</v>
      </c>
      <c r="T18" s="35">
        <f>IFERROR(VLOOKUP($A18,[1]Morningstar!$A$2:$F$477,3,FALSE),"n/a")</f>
        <v>7.1999999999999998E-3</v>
      </c>
      <c r="U18" s="259">
        <f>IFERROR(VLOOKUP($A18,[1]Morningstar!$A$2:$F$477,4,FALSE),"n/a")</f>
        <v>6.2399999999999997E-2</v>
      </c>
      <c r="V18" s="35">
        <f>IFERROR(VLOOKUP($A18,[1]Morningstar!$A$2:$F$477,5,FALSE),"n/a")</f>
        <v>0.18310000000000001</v>
      </c>
      <c r="W18" s="259">
        <f>IFERROR(VLOOKUP($A18,[1]Morningstar!$A$2:$F$477,6,FALSE),"n/a")</f>
        <v>0.22109999999999999</v>
      </c>
    </row>
    <row r="19" spans="1:23">
      <c r="A19" s="21" t="s">
        <v>683</v>
      </c>
      <c r="B19" s="254" t="s">
        <v>625</v>
      </c>
      <c r="C19" s="46" t="str">
        <f>VLOOKUP(A19,'[1]REIT Infra List'!$A$2:$B$56,2,FALSE)</f>
        <v>Transurban Group</v>
      </c>
      <c r="D19" s="24"/>
      <c r="E19" s="247"/>
      <c r="F19" s="255">
        <f>VLOOKUP(A19,'[1]REIT Infra List'!$A$2:$L$56,7,FALSE)/1000000</f>
        <v>26629.993705140005</v>
      </c>
      <c r="G19" s="26">
        <f>VLOOKUP(A19,'[1]REIT Infra List'!$A$2:$L$56,12,FALSE)/1000000</f>
        <v>222.47279620000458</v>
      </c>
      <c r="H19" s="256">
        <f>VLOOKUP(A19,[1]IRESS!$A$10:$F$875,5,FALSE)</f>
        <v>1313398414.7800102</v>
      </c>
      <c r="I19" s="222">
        <f>VLOOKUP(A19,[1]IRESS!$A$11:$G$339,7,FALSE)</f>
        <v>109123538</v>
      </c>
      <c r="J19" s="256">
        <f>VLOOKUP(A19,[1]IRESS!$A$10:$F$875,4,FALSE)</f>
        <v>197752</v>
      </c>
      <c r="K19" s="223">
        <f t="shared" si="0"/>
        <v>4.9320267564558373E-2</v>
      </c>
      <c r="L19" s="224" t="e">
        <f>VLOOKUP(A19,[1]Spreads!$A$1:$G$87,7,FALSE)</f>
        <v>#N/A</v>
      </c>
      <c r="M19" s="257"/>
      <c r="N19" s="9"/>
      <c r="O19" s="32">
        <f>VLOOKUP($A19,[1]IRESS!$A$11:$AE$696,6,FALSE)/100</f>
        <v>11.97</v>
      </c>
      <c r="P19" s="258">
        <f>VLOOKUP($A19,[1]IRESS!$A$11:$AE$696,21,FALSE)/100</f>
        <v>13.11</v>
      </c>
      <c r="Q19" s="32">
        <f>VLOOKUP($A19,[1]IRESS!$A$11:$AE$696,22,FALSE)/100</f>
        <v>10.97</v>
      </c>
      <c r="R19" s="9"/>
      <c r="S19" s="259">
        <f>IFERROR((VLOOKUP($A19,[1]IRESS!$A$11:$AE$696,20,FALSE)/100)/O19,"n/a")</f>
        <v>4.6783625730994156E-2</v>
      </c>
      <c r="T19" s="35">
        <f>IFERROR(VLOOKUP($A19,[1]Morningstar!$A$2:$F$477,3,FALSE),"n/a")</f>
        <v>3.3799999999999997E-2</v>
      </c>
      <c r="U19" s="259">
        <f>IFERROR(VLOOKUP($A19,[1]Morningstar!$A$2:$F$477,4,FALSE),"n/a")</f>
        <v>5.7000000000000002E-2</v>
      </c>
      <c r="V19" s="35">
        <f>IFERROR(VLOOKUP($A19,[1]Morningstar!$A$2:$F$477,5,FALSE),"n/a")</f>
        <v>0.14000000000000001</v>
      </c>
      <c r="W19" s="259">
        <f>IFERROR(VLOOKUP($A19,[1]Morningstar!$A$2:$F$477,6,FALSE),"n/a")</f>
        <v>0.17780000000000001</v>
      </c>
    </row>
    <row r="20" spans="1:23" s="253" customFormat="1">
      <c r="A20" s="248" t="s">
        <v>225</v>
      </c>
      <c r="B20" s="260"/>
      <c r="C20" s="260"/>
      <c r="D20" s="260"/>
      <c r="E20" s="247"/>
      <c r="F20" s="248"/>
      <c r="G20" s="249"/>
      <c r="H20" s="249"/>
      <c r="I20" s="249"/>
      <c r="J20" s="249"/>
      <c r="K20" s="249"/>
      <c r="L20" s="249"/>
      <c r="M20" s="249"/>
      <c r="N20" s="9"/>
      <c r="O20" s="248"/>
      <c r="P20" s="248"/>
      <c r="Q20" s="260"/>
      <c r="R20" s="9"/>
      <c r="S20" s="248"/>
      <c r="T20" s="260"/>
      <c r="U20" s="260"/>
      <c r="V20" s="260"/>
      <c r="W20" s="260"/>
    </row>
    <row r="21" spans="1:23">
      <c r="A21" s="21" t="s">
        <v>226</v>
      </c>
      <c r="B21" s="254" t="s">
        <v>227</v>
      </c>
      <c r="C21" s="46" t="str">
        <f>VLOOKUP((A21&amp;".ASX"),[1]IRESS!$J$11:$R$681,8,FALSE)</f>
        <v>S&amp;P/ASX 200 Accumulation</v>
      </c>
      <c r="D21" s="24"/>
      <c r="E21" s="247"/>
      <c r="F21" s="255"/>
      <c r="G21" s="26"/>
      <c r="H21" s="255"/>
      <c r="I21" s="26"/>
      <c r="J21" s="261"/>
      <c r="K21" s="28"/>
      <c r="L21" s="28"/>
      <c r="M21" s="262"/>
      <c r="N21" s="9"/>
      <c r="O21" s="32">
        <f>VLOOKUP(($A21&amp;".ASX"),[1]IRESS!$AF$11:$AG$681,2,FALSE)</f>
        <v>63015.407839308253</v>
      </c>
      <c r="P21" s="258">
        <f>VLOOKUP($A21,[1]IRESS!$A$11:$AE$696,21,FALSE)</f>
        <v>63270.451990326314</v>
      </c>
      <c r="Q21" s="32">
        <f>VLOOKUP($A21,[1]IRESS!$A$11:$AE$696,22,FALSE)</f>
        <v>55296.57681594212</v>
      </c>
      <c r="R21" s="9"/>
      <c r="S21" s="259"/>
      <c r="T21" s="35">
        <f>IFERROR(($O21-VLOOKUP($A21,[1]IRESS!$A$11:$AE$696,25,FALSE))/(VLOOKUP($A21,[1]IRESS!$A$11:$AE$696,25,FALSE)),"n/a")</f>
        <v>3.7461315862249253E-2</v>
      </c>
      <c r="U21" s="259">
        <f>IFERROR(($O21-VLOOKUP($A21,[1]IRESS!$A$11:$AE$696,27,FALSE))/(VLOOKUP($A21,[1]IRESS!$A$11:$AE$696,27,FALSE)),"n/a")</f>
        <v>0.13014760443980347</v>
      </c>
      <c r="V21" s="35">
        <f>IFERROR((($O21/VLOOKUP($A21,[1]IRESS!$A$11:$AE$696,29,FALSE))^(1/3)-1),"n/a")</f>
        <v>9.0427391805817159E-2</v>
      </c>
      <c r="W21" s="259">
        <f>IFERROR((($O21/VLOOKUP($A21,[1]IRESS!$A$11:$AE$696,31,FALSE))^(1/5)-1),"n/a")</f>
        <v>9.9799624905136719E-2</v>
      </c>
    </row>
    <row r="22" spans="1:23">
      <c r="A22" s="21" t="s">
        <v>228</v>
      </c>
      <c r="B22" s="254" t="s">
        <v>227</v>
      </c>
      <c r="C22" s="46" t="str">
        <f>VLOOKUP((A22&amp;".ASX"),[1]IRESS!$J$11:$R$681,8,FALSE)</f>
        <v>S&amp;P/ASX Small Ords Accumulation</v>
      </c>
      <c r="D22" s="24"/>
      <c r="E22" s="247"/>
      <c r="F22" s="255"/>
      <c r="G22" s="26"/>
      <c r="H22" s="255"/>
      <c r="I22" s="26"/>
      <c r="J22" s="261"/>
      <c r="K22" s="28"/>
      <c r="L22" s="28"/>
      <c r="M22" s="262"/>
      <c r="N22" s="9"/>
      <c r="O22" s="32">
        <f>VLOOKUP(($A22&amp;".ASX"),[1]IRESS!$AF$11:$AG$681,2,FALSE)</f>
        <v>8140.5090054170332</v>
      </c>
      <c r="P22" s="258">
        <f>VLOOKUP($A22,[1]IRESS!$A$11:$AE$696,21,FALSE)/100</f>
        <v>82.857830213919186</v>
      </c>
      <c r="Q22" s="32">
        <f>VLOOKUP($A22,[1]IRESS!$A$11:$AE$696,22,FALSE)/100</f>
        <v>64.883292450688103</v>
      </c>
      <c r="R22" s="9"/>
      <c r="S22" s="259"/>
      <c r="T22" s="35">
        <f>IFERROR(($O22-VLOOKUP($A22,[1]IRESS!$A$11:$AE$696,25,FALSE))/(VLOOKUP($A22,[1]IRESS!$A$11:$AE$696,25,FALSE)),"n/a")</f>
        <v>2.089624394647829E-2</v>
      </c>
      <c r="U22" s="259">
        <f>IFERROR(($O22-VLOOKUP($A22,[1]IRESS!$A$11:$AE$696,27,FALSE))/(VLOOKUP($A22,[1]IRESS!$A$11:$AE$696,27,FALSE)),"n/a")</f>
        <v>0.24246215053522574</v>
      </c>
      <c r="V22" s="35">
        <f>IFERROR((($O22/VLOOKUP($A22,[1]IRESS!$A$11:$AE$696,29,FALSE))^(1/3)-1),"n/a")</f>
        <v>0.15005367378215362</v>
      </c>
      <c r="W22" s="259">
        <f>IFERROR((($O22/VLOOKUP($A22,[1]IRESS!$A$11:$AE$696,31,FALSE))^(1/5)-1),"n/a")</f>
        <v>0.11562181573593877</v>
      </c>
    </row>
    <row r="23" spans="1:23">
      <c r="A23" s="21" t="s">
        <v>229</v>
      </c>
      <c r="B23" s="254" t="s">
        <v>227</v>
      </c>
      <c r="C23" s="46" t="str">
        <f>VLOOKUP((A23&amp;".ASX"),[1]IRESS!$J$11:$R$681,8,FALSE)</f>
        <v>S&amp;P/ASX 200 A-REIT Accumulation</v>
      </c>
      <c r="D23" s="24"/>
      <c r="E23" s="247"/>
      <c r="F23" s="255"/>
      <c r="G23" s="26"/>
      <c r="H23" s="255"/>
      <c r="I23" s="26"/>
      <c r="J23" s="261"/>
      <c r="K23" s="28"/>
      <c r="L23" s="28"/>
      <c r="M23" s="262"/>
      <c r="N23" s="9"/>
      <c r="O23" s="32">
        <f>VLOOKUP(($A23&amp;".ASX"),[1]IRESS!$AF$11:$AG$681,2,FALSE)</f>
        <v>48604.905129330422</v>
      </c>
      <c r="P23" s="258">
        <f>VLOOKUP($A23,[1]IRESS!$A$11:$AE$696,21,FALSE)/100</f>
        <v>490.78929650724524</v>
      </c>
      <c r="Q23" s="32">
        <f>VLOOKUP($A23,[1]IRESS!$A$11:$AE$696,22,FALSE)/100</f>
        <v>414.6468147361839</v>
      </c>
      <c r="R23" s="9"/>
      <c r="S23" s="259"/>
      <c r="T23" s="35">
        <f>IFERROR(($O23-VLOOKUP($A23,[1]IRESS!$A$11:$AE$696,25,FALSE))/(VLOOKUP($A23,[1]IRESS!$A$11:$AE$696,25,FALSE)),"n/a")</f>
        <v>2.3338225544838796E-2</v>
      </c>
      <c r="U23" s="259">
        <f>IFERROR(($O23-VLOOKUP($A23,[1]IRESS!$A$11:$AE$696,27,FALSE))/(VLOOKUP($A23,[1]IRESS!$A$11:$AE$696,27,FALSE)),"n/a")</f>
        <v>0.13038443354059726</v>
      </c>
      <c r="V23" s="35">
        <f>IFERROR((($O23/VLOOKUP($A23,[1]IRESS!$A$11:$AE$696,29,FALSE))^(1/3)-1),"n/a")</f>
        <v>9.6953604547080019E-2</v>
      </c>
      <c r="W23" s="259">
        <f>IFERROR((($O23/VLOOKUP($A23,[1]IRESS!$A$11:$AE$696,31,FALSE))^(1/5)-1),"n/a")</f>
        <v>0.12009433339785569</v>
      </c>
    </row>
    <row r="24" spans="1:23">
      <c r="A24" s="21" t="s">
        <v>230</v>
      </c>
      <c r="B24" s="254" t="s">
        <v>227</v>
      </c>
      <c r="C24" s="46" t="str">
        <f>VLOOKUP((A24&amp;".ASX"),[1]IRESS!$J$11:$R$681,8,FALSE)</f>
        <v>S&amp;P/ASX Infrastructure Index Accumulation</v>
      </c>
      <c r="D24" s="24"/>
      <c r="E24" s="247"/>
      <c r="F24" s="255"/>
      <c r="G24" s="26"/>
      <c r="H24" s="255"/>
      <c r="I24" s="26"/>
      <c r="J24" s="261"/>
      <c r="K24" s="28"/>
      <c r="L24" s="28"/>
      <c r="M24" s="262"/>
      <c r="N24" s="9"/>
      <c r="O24" s="32">
        <f>VLOOKUP(($A24&amp;".ASX"),[1]IRESS!$AF$11:$AG$681,2,FALSE)</f>
        <v>443.84317103253943</v>
      </c>
      <c r="P24" s="258">
        <f>VLOOKUP($A24,[1]IRESS!$A$11:$AE$696,21,FALSE)/100</f>
        <v>4.4791295489044334</v>
      </c>
      <c r="Q24" s="32">
        <f>VLOOKUP($A24,[1]IRESS!$A$11:$AE$696,22,FALSE)/100</f>
        <v>3.8786031043183882</v>
      </c>
      <c r="R24" s="9"/>
      <c r="S24" s="259"/>
      <c r="T24" s="35">
        <f>IFERROR(($O24-VLOOKUP($A24,[1]IRESS!$A$11:$AE$696,25,FALSE))/(VLOOKUP($A24,[1]IRESS!$A$11:$AE$696,25,FALSE)),"n/a")</f>
        <v>6.1343358299678984E-2</v>
      </c>
      <c r="U24" s="259">
        <f>IFERROR(($O24-VLOOKUP($A24,[1]IRESS!$A$11:$AE$696,27,FALSE))/(VLOOKUP($A24,[1]IRESS!$A$11:$AE$696,27,FALSE)),"n/a")</f>
        <v>8.7252714164183509E-2</v>
      </c>
      <c r="V24" s="35">
        <f>IFERROR((($O24/VLOOKUP($A24,[1]IRESS!$A$11:$AE$696,29,FALSE))^(1/3)-1),"n/a")</f>
        <v>0.11668931747853328</v>
      </c>
      <c r="W24" s="259">
        <f>IFERROR((($O24/VLOOKUP($A24,[1]IRESS!$A$11:$AE$696,31,FALSE))^(1/5)-1),"n/a")</f>
        <v>0.13738343638890416</v>
      </c>
    </row>
    <row r="25" spans="1:23">
      <c r="A25" s="21" t="s">
        <v>231</v>
      </c>
      <c r="B25" s="254" t="s">
        <v>227</v>
      </c>
      <c r="C25" s="46" t="str">
        <f>VLOOKUP((A25&amp;".ASX"),[1]IRESS!$J$11:$R$681,8,FALSE)</f>
        <v>S&amp;P/ASX Aust Fixed Int Idx Total Return</v>
      </c>
      <c r="D25" s="24"/>
      <c r="E25" s="247"/>
      <c r="F25" s="255"/>
      <c r="G25" s="26"/>
      <c r="H25" s="255"/>
      <c r="I25" s="26"/>
      <c r="J25" s="261"/>
      <c r="K25" s="28"/>
      <c r="L25" s="28"/>
      <c r="M25" s="262"/>
      <c r="N25" s="9"/>
      <c r="O25" s="32">
        <f>VLOOKUP(($A25&amp;".ASX"),[1]IRESS!$AF$11:$AG$681,2,FALSE)</f>
        <v>145.96627000000001</v>
      </c>
      <c r="P25" s="258">
        <f>VLOOKUP($A25,[1]IRESS!$A$11:$AE$696,21,FALSE)/100</f>
        <v>0</v>
      </c>
      <c r="Q25" s="32">
        <f>VLOOKUP($A25,[1]IRESS!$A$11:$AE$696,22,FALSE)/100</f>
        <v>0</v>
      </c>
      <c r="R25" s="9"/>
      <c r="S25" s="259"/>
      <c r="T25" s="35">
        <f>IFERROR(($O25-VLOOKUP($A25,[1]IRESS!$A$11:$AE$696,25,FALSE))/(VLOOKUP($A25,[1]IRESS!$A$11:$AE$696,25,FALSE)),"n/a")</f>
        <v>4.114933339221926E-3</v>
      </c>
      <c r="U25" s="259">
        <f>IFERROR(($O25-VLOOKUP($A25,[1]IRESS!$A$11:$AE$696,27,FALSE))/(VLOOKUP($A25,[1]IRESS!$A$11:$AE$696,27,FALSE)),"n/a")</f>
        <v>3.1123896548440579E-2</v>
      </c>
      <c r="V25" s="35">
        <f>IFERROR((($O25/VLOOKUP($A25,[1]IRESS!$A$11:$AE$696,29,FALSE))^(1/3)-1),"n/a")</f>
        <v>3.4877316646126921E-2</v>
      </c>
      <c r="W25" s="259">
        <f>IFERROR((($O25/VLOOKUP($A25,[1]IRESS!$A$11:$AE$696,31,FALSE))^(1/5)-1),"n/a")</f>
        <v>4.561934533266454E-2</v>
      </c>
    </row>
    <row r="26" spans="1:23">
      <c r="A26" s="21" t="s">
        <v>232</v>
      </c>
      <c r="B26" s="254" t="s">
        <v>227</v>
      </c>
      <c r="C26" s="46" t="str">
        <f>VLOOKUP((A26&amp;".ASX"),[1]IRESS!$J$11:$R$681,8,FALSE)</f>
        <v>S&amp;P/ASX Govt Bond Idx Total Return</v>
      </c>
      <c r="D26" s="24"/>
      <c r="E26" s="247"/>
      <c r="F26" s="255"/>
      <c r="G26" s="26"/>
      <c r="H26" s="255"/>
      <c r="I26" s="26"/>
      <c r="J26" s="261"/>
      <c r="K26" s="28"/>
      <c r="L26" s="28"/>
      <c r="M26" s="262"/>
      <c r="N26" s="9"/>
      <c r="O26" s="32">
        <f>VLOOKUP(($A26&amp;".ASX"),[1]IRESS!$AF$11:$AG$681,2,FALSE)</f>
        <v>145.29893000000001</v>
      </c>
      <c r="P26" s="258">
        <f>VLOOKUP($A26,[1]IRESS!$A$11:$AE$696,21,FALSE)/100</f>
        <v>0</v>
      </c>
      <c r="Q26" s="32">
        <f>VLOOKUP($A26,[1]IRESS!$A$11:$AE$696,22,FALSE)/100</f>
        <v>0</v>
      </c>
      <c r="R26" s="9"/>
      <c r="S26" s="259"/>
      <c r="T26" s="35">
        <f>IFERROR(($O26-VLOOKUP($A26,[1]IRESS!$A$11:$AE$696,25,FALSE))/(VLOOKUP($A26,[1]IRESS!$A$11:$AE$696,25,FALSE)),"n/a")</f>
        <v>4.4473217766890479E-3</v>
      </c>
      <c r="U26" s="259">
        <f>IFERROR(($O26-VLOOKUP($A26,[1]IRESS!$A$11:$AE$696,27,FALSE))/(VLOOKUP($A26,[1]IRESS!$A$11:$AE$696,27,FALSE)),"n/a")</f>
        <v>3.0246793785261752E-2</v>
      </c>
      <c r="V26" s="35">
        <f>IFERROR((($O26/VLOOKUP($A26,[1]IRESS!$A$11:$AE$696,29,FALSE))^(1/3)-1),"n/a")</f>
        <v>3.415756002952075E-2</v>
      </c>
      <c r="W26" s="259">
        <f>IFERROR((($O26/VLOOKUP($A26,[1]IRESS!$A$11:$AE$696,31,FALSE))^(1/5)-1),"n/a")</f>
        <v>4.4846946944204102E-2</v>
      </c>
    </row>
    <row r="27" spans="1:23" ht="11.25" customHeight="1">
      <c r="A27" s="66"/>
      <c r="B27" s="7"/>
      <c r="C27" s="66"/>
      <c r="D27" s="66"/>
      <c r="E27" s="194"/>
      <c r="F27" s="63"/>
      <c r="G27" s="63"/>
      <c r="H27" s="7"/>
      <c r="I27" s="7"/>
      <c r="J27" s="7"/>
      <c r="K27" s="7"/>
      <c r="L27" s="7"/>
      <c r="M27" s="7"/>
      <c r="N27" s="9"/>
      <c r="O27" s="7"/>
      <c r="P27" s="7"/>
      <c r="Q27" s="7"/>
      <c r="R27" s="9"/>
      <c r="S27" s="7"/>
      <c r="T27" s="7"/>
      <c r="U27" s="7"/>
      <c r="V27" s="7"/>
      <c r="W27" s="7"/>
    </row>
    <row r="28" spans="1:23" ht="11.25" customHeight="1">
      <c r="A28" s="263" t="s">
        <v>673</v>
      </c>
      <c r="B28" s="263"/>
      <c r="C28" s="263"/>
      <c r="D28" s="263"/>
      <c r="E28" s="263"/>
      <c r="F28" s="263"/>
      <c r="G28" s="263"/>
      <c r="H28" s="263"/>
      <c r="I28" s="263"/>
      <c r="J28" s="263"/>
      <c r="K28" s="263"/>
      <c r="L28" s="263"/>
      <c r="M28" s="263"/>
      <c r="N28" s="263"/>
      <c r="O28" s="263"/>
      <c r="P28" s="263"/>
      <c r="Q28" s="263"/>
      <c r="R28" s="263"/>
      <c r="S28" s="263"/>
      <c r="T28" s="263"/>
      <c r="U28" s="263"/>
      <c r="V28" s="263"/>
      <c r="W28" s="263"/>
    </row>
    <row r="29" spans="1:23" ht="19.5" customHeight="1">
      <c r="A29" s="263"/>
      <c r="B29" s="263"/>
      <c r="C29" s="263"/>
      <c r="D29" s="263"/>
      <c r="E29" s="263"/>
      <c r="F29" s="263"/>
      <c r="G29" s="263"/>
      <c r="H29" s="263"/>
      <c r="I29" s="263"/>
      <c r="J29" s="263"/>
      <c r="K29" s="263"/>
      <c r="L29" s="263"/>
      <c r="M29" s="263"/>
      <c r="N29" s="263"/>
      <c r="O29" s="263"/>
      <c r="P29" s="263"/>
      <c r="Q29" s="263"/>
      <c r="R29" s="263"/>
      <c r="S29" s="263"/>
      <c r="T29" s="263"/>
      <c r="U29" s="263"/>
      <c r="V29" s="263"/>
      <c r="W29" s="263"/>
    </row>
    <row r="30" spans="1:23" ht="11.25" customHeight="1">
      <c r="A30" s="76" t="str">
        <f>"All values are as at "&amp;TEXT([1]Setup!$K$4,"mmm-yy")&amp;". Month Total return, 1/3&amp;5 year annualised return data provided by Morningstar. NTA is last reported value"</f>
        <v>All values are as at Jun-18. Month Total return, 1/3&amp;5 year annualised return data provided by Morningstar. NTA is last reported value</v>
      </c>
      <c r="B30" s="7"/>
      <c r="C30" s="91"/>
      <c r="D30" s="94"/>
      <c r="E30" s="94"/>
      <c r="F30" s="7"/>
      <c r="G30" s="7"/>
      <c r="H30" s="7"/>
      <c r="I30" s="7"/>
      <c r="J30" s="7"/>
      <c r="K30" s="7"/>
      <c r="L30" s="7"/>
      <c r="M30" s="7"/>
      <c r="N30" s="7"/>
      <c r="O30" s="7"/>
      <c r="P30" s="7"/>
      <c r="Q30" s="7"/>
      <c r="R30" s="7"/>
      <c r="S30" s="7"/>
      <c r="T30" s="7"/>
      <c r="U30" s="7"/>
      <c r="V30" s="7"/>
      <c r="W30" s="7"/>
    </row>
    <row r="31" spans="1:23">
      <c r="A31" s="66"/>
      <c r="B31" s="7"/>
      <c r="C31" s="7"/>
      <c r="D31" s="68"/>
      <c r="E31" s="68"/>
      <c r="F31" s="7"/>
      <c r="G31" s="7"/>
      <c r="H31" s="7"/>
      <c r="I31" s="7"/>
      <c r="J31" s="7"/>
      <c r="K31" s="7"/>
      <c r="L31" s="7"/>
      <c r="M31" s="7"/>
      <c r="N31" s="7"/>
      <c r="O31" s="7"/>
      <c r="P31" s="7"/>
      <c r="Q31" s="7"/>
      <c r="R31" s="7"/>
      <c r="S31" s="7"/>
      <c r="T31" s="7"/>
      <c r="U31" s="7"/>
      <c r="V31" s="7"/>
      <c r="W31" s="7"/>
    </row>
    <row r="32" spans="1:23" ht="11.25" customHeight="1">
      <c r="A32" s="7"/>
      <c r="B32" s="7"/>
      <c r="C32" s="7"/>
      <c r="D32" s="68"/>
      <c r="E32" s="68"/>
      <c r="F32" s="7"/>
      <c r="G32" s="7"/>
      <c r="H32" s="7"/>
      <c r="I32" s="7"/>
      <c r="J32" s="7"/>
      <c r="K32" s="7"/>
      <c r="L32" s="7"/>
      <c r="M32" s="7"/>
      <c r="N32" s="7"/>
      <c r="O32" s="7"/>
      <c r="P32" s="7"/>
      <c r="Q32" s="7"/>
      <c r="R32" s="7"/>
      <c r="S32" s="7"/>
      <c r="T32" s="7"/>
      <c r="U32" s="7"/>
      <c r="V32" s="7"/>
      <c r="W32" s="7"/>
    </row>
    <row r="33" spans="1:24" ht="18.75">
      <c r="A33" s="197" t="s">
        <v>239</v>
      </c>
      <c r="B33" s="7"/>
      <c r="C33" s="7"/>
      <c r="D33" s="68"/>
      <c r="E33" s="68"/>
      <c r="F33" s="7"/>
      <c r="G33" s="7"/>
      <c r="H33" s="7"/>
      <c r="I33" s="7"/>
      <c r="J33" s="7"/>
      <c r="K33" s="7"/>
      <c r="L33" s="7"/>
      <c r="M33" s="7"/>
      <c r="N33" s="7"/>
      <c r="O33" s="7"/>
      <c r="P33" s="7"/>
      <c r="Q33" s="7"/>
      <c r="R33" s="7"/>
      <c r="S33" s="7"/>
      <c r="T33" s="7"/>
      <c r="U33" s="7"/>
      <c r="V33" s="7"/>
      <c r="W33" s="7"/>
    </row>
    <row r="47" spans="1:24" ht="14.45" customHeight="1">
      <c r="A47" s="264" t="s">
        <v>684</v>
      </c>
      <c r="B47" s="264"/>
      <c r="C47" s="264"/>
      <c r="D47" s="264"/>
      <c r="E47" s="264"/>
      <c r="F47" s="264"/>
      <c r="G47" s="264"/>
      <c r="H47" s="264"/>
      <c r="I47" s="264"/>
      <c r="J47" s="264"/>
      <c r="K47" s="264"/>
      <c r="L47" s="264"/>
      <c r="M47" s="264"/>
      <c r="N47" s="264"/>
      <c r="O47" s="264"/>
      <c r="P47" s="264"/>
      <c r="Q47" s="264"/>
      <c r="R47" s="264"/>
      <c r="S47" s="264"/>
      <c r="T47" s="264"/>
      <c r="U47" s="264"/>
      <c r="V47" s="264"/>
      <c r="W47" s="264"/>
      <c r="X47" s="265"/>
    </row>
    <row r="48" spans="1:24">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5"/>
    </row>
    <row r="49" spans="1:19">
      <c r="A49" s="166" t="str">
        <f>"© Copyright "&amp;TEXT([1]Setup!$K$2,"yyyy")&amp;" ASX Operations Pty Limited ABN 42 004 523 782. All rights reserved "&amp;TEXT([1]Setup!$K$2,"yyyy")</f>
        <v>© Copyright 2018 ASX Operations Pty Limited ABN 42 004 523 782. All rights reserved 2018</v>
      </c>
    </row>
    <row r="50" spans="1:19">
      <c r="P50" s="267"/>
    </row>
    <row r="58" spans="1:19">
      <c r="S58" s="7"/>
    </row>
    <row r="73" spans="1:16">
      <c r="A73" s="268"/>
      <c r="B73" s="268"/>
      <c r="C73" s="268"/>
      <c r="D73" s="269"/>
      <c r="E73" s="269"/>
      <c r="F73" s="268"/>
      <c r="G73" s="268"/>
      <c r="H73" s="268"/>
      <c r="I73" s="268"/>
      <c r="J73" s="268"/>
      <c r="K73" s="268"/>
      <c r="L73" s="268"/>
      <c r="M73" s="268"/>
      <c r="O73" s="268"/>
      <c r="P73" s="268"/>
    </row>
    <row r="74" spans="1:16">
      <c r="A74" s="268"/>
      <c r="B74" s="268"/>
      <c r="C74" s="268"/>
      <c r="D74" s="269"/>
      <c r="E74" s="269"/>
      <c r="F74" s="268"/>
      <c r="G74" s="268"/>
      <c r="H74" s="268"/>
      <c r="I74" s="268"/>
      <c r="J74" s="268"/>
      <c r="K74" s="268"/>
      <c r="L74" s="268"/>
      <c r="M74" s="268"/>
      <c r="O74" s="268"/>
      <c r="P74" s="268"/>
    </row>
    <row r="75" spans="1:16">
      <c r="A75" s="268"/>
      <c r="B75" s="270"/>
      <c r="C75" s="270"/>
      <c r="D75" s="271"/>
      <c r="E75" s="271"/>
      <c r="F75" s="268"/>
      <c r="G75" s="268"/>
      <c r="H75" s="268"/>
      <c r="I75" s="268"/>
      <c r="J75" s="268"/>
      <c r="K75" s="268"/>
      <c r="L75" s="268"/>
      <c r="M75" s="268"/>
      <c r="O75" s="268"/>
      <c r="P75" s="268"/>
    </row>
    <row r="76" spans="1:16">
      <c r="A76" s="270"/>
      <c r="B76" s="270"/>
      <c r="C76" s="270"/>
      <c r="D76" s="271"/>
      <c r="E76" s="271"/>
      <c r="F76" s="268"/>
      <c r="G76" s="268"/>
      <c r="H76" s="268"/>
      <c r="I76" s="268"/>
      <c r="J76" s="268"/>
      <c r="K76" s="268"/>
      <c r="L76" s="268"/>
      <c r="M76" s="268"/>
      <c r="O76" s="268"/>
      <c r="P76" s="268"/>
    </row>
    <row r="77" spans="1:16">
      <c r="A77" s="272"/>
      <c r="B77" s="272"/>
      <c r="C77" s="272"/>
      <c r="D77" s="273"/>
      <c r="E77" s="273"/>
    </row>
    <row r="78" spans="1:16">
      <c r="A78" s="272"/>
      <c r="B78" s="272"/>
      <c r="C78" s="272"/>
      <c r="D78" s="273"/>
      <c r="E78" s="273"/>
    </row>
    <row r="79" spans="1:16">
      <c r="A79" s="272"/>
      <c r="B79" s="272"/>
      <c r="C79" s="272"/>
      <c r="D79" s="273"/>
      <c r="E79" s="273"/>
    </row>
    <row r="80" spans="1:16">
      <c r="A80" s="272"/>
      <c r="B80" s="273"/>
      <c r="C80" s="272"/>
      <c r="D80" s="273"/>
      <c r="E80" s="273"/>
    </row>
    <row r="81" spans="1:5">
      <c r="A81" s="273"/>
      <c r="B81" s="273"/>
      <c r="C81" s="272"/>
      <c r="D81" s="273"/>
      <c r="E81" s="273"/>
    </row>
    <row r="82" spans="1:5">
      <c r="A82" s="273"/>
      <c r="B82" s="272"/>
      <c r="C82" s="274"/>
      <c r="D82" s="275"/>
      <c r="E82" s="275"/>
    </row>
    <row r="83" spans="1:5">
      <c r="A83" s="272"/>
      <c r="B83" s="272"/>
      <c r="C83" s="272"/>
      <c r="D83" s="273"/>
      <c r="E83" s="273"/>
    </row>
    <row r="84" spans="1:5">
      <c r="A84" s="272"/>
      <c r="B84" s="272"/>
      <c r="C84" s="272"/>
      <c r="D84" s="273"/>
      <c r="E84" s="273"/>
    </row>
    <row r="85" spans="1:5">
      <c r="A85" s="272"/>
      <c r="B85" s="272"/>
      <c r="C85" s="272"/>
      <c r="D85" s="273"/>
      <c r="E85" s="273"/>
    </row>
    <row r="86" spans="1:5" ht="13.5" customHeight="1">
      <c r="A86" s="272"/>
      <c r="B86" s="272"/>
      <c r="C86" s="272"/>
      <c r="D86" s="273"/>
      <c r="E86" s="273"/>
    </row>
    <row r="87" spans="1:5">
      <c r="A87" s="272"/>
      <c r="B87" s="272"/>
      <c r="C87" s="272"/>
      <c r="D87" s="273"/>
      <c r="E87" s="273"/>
    </row>
    <row r="88" spans="1:5">
      <c r="A88" s="272"/>
      <c r="B88" s="273"/>
      <c r="C88" s="272"/>
      <c r="D88" s="273"/>
      <c r="E88" s="273"/>
    </row>
    <row r="89" spans="1:5">
      <c r="A89" s="273"/>
      <c r="B89" s="273"/>
      <c r="C89" s="272"/>
      <c r="D89" s="273"/>
      <c r="E89" s="273"/>
    </row>
    <row r="90" spans="1:5">
      <c r="A90" s="273"/>
      <c r="B90" s="272"/>
      <c r="C90" s="272"/>
      <c r="D90" s="273"/>
      <c r="E90" s="273"/>
    </row>
    <row r="91" spans="1:5">
      <c r="A91" s="272"/>
      <c r="B91" s="272"/>
      <c r="C91" s="272"/>
      <c r="D91" s="273"/>
      <c r="E91" s="273"/>
    </row>
    <row r="92" spans="1:5">
      <c r="A92" s="272"/>
      <c r="B92" s="272"/>
      <c r="C92" s="272"/>
      <c r="D92" s="273"/>
      <c r="E92" s="273"/>
    </row>
    <row r="93" spans="1:5">
      <c r="A93" s="272"/>
      <c r="B93" s="272"/>
      <c r="C93" s="272"/>
      <c r="D93" s="273"/>
      <c r="E93" s="273"/>
    </row>
    <row r="94" spans="1:5">
      <c r="A94" s="272"/>
      <c r="B94" s="272"/>
      <c r="C94" s="272"/>
      <c r="D94" s="273"/>
      <c r="E94" s="273"/>
    </row>
    <row r="95" spans="1:5">
      <c r="A95" s="272"/>
      <c r="B95" s="272"/>
      <c r="C95" s="272"/>
      <c r="D95" s="273"/>
      <c r="E95" s="273"/>
    </row>
    <row r="96" spans="1:5">
      <c r="A96" s="272"/>
      <c r="B96" s="273"/>
      <c r="C96" s="272"/>
      <c r="D96" s="273"/>
      <c r="E96" s="273"/>
    </row>
    <row r="97" spans="1:5">
      <c r="A97" s="273"/>
      <c r="B97" s="273"/>
      <c r="C97" s="272"/>
      <c r="D97" s="273"/>
      <c r="E97" s="273"/>
    </row>
    <row r="98" spans="1:5">
      <c r="A98" s="273"/>
      <c r="B98" s="272"/>
      <c r="C98" s="272"/>
      <c r="D98" s="273"/>
      <c r="E98" s="273"/>
    </row>
    <row r="99" spans="1:5">
      <c r="A99" s="272"/>
      <c r="B99" s="272"/>
      <c r="C99" s="272"/>
      <c r="D99" s="273"/>
      <c r="E99" s="273"/>
    </row>
    <row r="100" spans="1:5">
      <c r="A100" s="272"/>
      <c r="B100" s="272"/>
      <c r="C100" s="272"/>
      <c r="D100" s="273"/>
      <c r="E100" s="273"/>
    </row>
    <row r="101" spans="1:5">
      <c r="A101" s="272"/>
      <c r="B101" s="272"/>
      <c r="C101" s="272"/>
      <c r="D101" s="273"/>
      <c r="E101" s="273"/>
    </row>
    <row r="102" spans="1:5">
      <c r="A102" s="272"/>
      <c r="B102" s="272"/>
      <c r="C102" s="272"/>
      <c r="D102" s="273"/>
      <c r="E102" s="273"/>
    </row>
    <row r="103" spans="1:5">
      <c r="A103" s="272"/>
      <c r="B103" s="272"/>
      <c r="C103" s="272"/>
      <c r="D103" s="273"/>
      <c r="E103" s="273"/>
    </row>
    <row r="104" spans="1:5">
      <c r="A104" s="272"/>
      <c r="B104" s="273"/>
      <c r="C104" s="272"/>
      <c r="D104" s="273"/>
      <c r="E104" s="273"/>
    </row>
    <row r="105" spans="1:5">
      <c r="A105" s="273"/>
      <c r="B105" s="273"/>
      <c r="C105" s="272"/>
      <c r="D105" s="273"/>
      <c r="E105" s="273"/>
    </row>
    <row r="106" spans="1:5">
      <c r="A106" s="273"/>
      <c r="B106" s="272"/>
      <c r="C106" s="272"/>
      <c r="D106" s="273"/>
      <c r="E106" s="273"/>
    </row>
    <row r="107" spans="1:5">
      <c r="A107" s="272"/>
      <c r="B107" s="272"/>
      <c r="C107" s="272"/>
      <c r="D107" s="273"/>
      <c r="E107" s="273"/>
    </row>
    <row r="108" spans="1:5">
      <c r="A108" s="272"/>
      <c r="B108" s="272"/>
      <c r="C108" s="272"/>
      <c r="D108" s="273"/>
      <c r="E108" s="273"/>
    </row>
    <row r="109" spans="1:5">
      <c r="A109" s="272"/>
      <c r="B109" s="272"/>
      <c r="C109" s="272"/>
      <c r="D109" s="273"/>
      <c r="E109" s="273"/>
    </row>
    <row r="110" spans="1:5">
      <c r="A110" s="272"/>
      <c r="B110" s="272"/>
      <c r="C110" s="272"/>
      <c r="D110" s="273"/>
      <c r="E110" s="273"/>
    </row>
    <row r="111" spans="1:5">
      <c r="A111" s="272"/>
      <c r="B111" s="272"/>
      <c r="C111" s="272"/>
      <c r="D111" s="273"/>
      <c r="E111" s="273"/>
    </row>
    <row r="112" spans="1:5">
      <c r="A112" s="272"/>
      <c r="B112" s="273"/>
      <c r="C112" s="272"/>
      <c r="D112" s="273"/>
      <c r="E112" s="273"/>
    </row>
    <row r="113" spans="1:5">
      <c r="A113" s="273"/>
      <c r="B113" s="273"/>
      <c r="C113" s="272"/>
      <c r="D113" s="273"/>
      <c r="E113" s="273"/>
    </row>
    <row r="114" spans="1:5">
      <c r="A114" s="273"/>
      <c r="B114" s="272"/>
      <c r="C114" s="272"/>
      <c r="D114" s="273"/>
      <c r="E114" s="273"/>
    </row>
    <row r="115" spans="1:5">
      <c r="A115" s="272"/>
      <c r="B115" s="272"/>
      <c r="C115" s="272"/>
      <c r="D115" s="273"/>
      <c r="E115" s="273"/>
    </row>
    <row r="116" spans="1:5">
      <c r="A116" s="272"/>
      <c r="B116" s="272"/>
      <c r="C116" s="272"/>
      <c r="D116" s="273"/>
      <c r="E116" s="273"/>
    </row>
    <row r="117" spans="1:5">
      <c r="A117" s="272"/>
      <c r="B117" s="272"/>
      <c r="C117" s="272"/>
      <c r="D117" s="273"/>
      <c r="E117" s="273"/>
    </row>
    <row r="118" spans="1:5">
      <c r="A118" s="272"/>
      <c r="B118" s="272"/>
      <c r="C118" s="272"/>
      <c r="D118" s="273"/>
      <c r="E118" s="273"/>
    </row>
    <row r="119" spans="1:5">
      <c r="A119" s="272"/>
      <c r="C119" s="272"/>
      <c r="D119" s="273"/>
      <c r="E119" s="273"/>
    </row>
    <row r="120" spans="1:5">
      <c r="C120" s="272"/>
      <c r="D120" s="273"/>
      <c r="E120" s="273"/>
    </row>
    <row r="121" spans="1:5">
      <c r="C121" s="272"/>
      <c r="D121" s="273"/>
      <c r="E121" s="273"/>
    </row>
    <row r="122" spans="1:5">
      <c r="C122" s="272"/>
      <c r="D122" s="273"/>
      <c r="E122" s="273"/>
    </row>
  </sheetData>
  <mergeCells count="3">
    <mergeCell ref="C11:D11"/>
    <mergeCell ref="A28:W29"/>
    <mergeCell ref="A47:W48"/>
  </mergeCells>
  <printOptions horizontalCentered="1"/>
  <pageMargins left="0" right="0" top="0" bottom="0" header="0.15748031496062992" footer="3.937007874015748E-2"/>
  <pageSetup paperSize="9" scale="6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Spotlight ETP List</vt:lpstr>
      <vt:lpstr>Spotlight MFSA List</vt:lpstr>
      <vt:lpstr>Spotlight mFund List</vt:lpstr>
      <vt:lpstr>Spotlight LIC List</vt:lpstr>
      <vt:lpstr>Spotlight A-REITS  List</vt:lpstr>
      <vt:lpstr>Spotlight Infra  List</vt:lpstr>
      <vt:lpstr>'Spotlight A-REITS  List'!Print_Area</vt:lpstr>
      <vt:lpstr>'Spotlight ETP List'!Print_Area</vt:lpstr>
      <vt:lpstr>'Spotlight Infra  List'!Print_Area</vt:lpstr>
      <vt:lpstr>'Spotlight LIC List'!Print_Area</vt:lpstr>
      <vt:lpstr>'Spotlight MFSA List'!Print_Area</vt:lpstr>
      <vt:lpstr>'Spotlight mFund List'!Print_Area</vt:lpstr>
      <vt:lpstr>'Spotlight A-REITS  List'!Print_Titles</vt:lpstr>
      <vt:lpstr>'Spotlight ETP List'!Print_Titles</vt:lpstr>
      <vt:lpstr>'Spotlight Infra  List'!Print_Titles</vt:lpstr>
      <vt:lpstr>'Spotlight LIC List'!Print_Titles</vt:lpstr>
      <vt:lpstr>'Spotlight MFSA List'!Print_Titles</vt:lpstr>
      <vt:lpstr>'Spotlight mFund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ASX Investment Products - June 2018</dc:title>
  <dc:creator>Martin Dinh</dc:creator>
  <cp:lastModifiedBy>Martin Dinh</cp:lastModifiedBy>
  <dcterms:created xsi:type="dcterms:W3CDTF">2018-07-17T06:58:29Z</dcterms:created>
  <dcterms:modified xsi:type="dcterms:W3CDTF">2018-07-17T07:00:30Z</dcterms:modified>
</cp:coreProperties>
</file>